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 tabRatio="810"/>
  </bookViews>
  <sheets>
    <sheet name="Case I Apt " sheetId="1" r:id="rId1"/>
    <sheet name="Case II Rent &amp; Buy land" sheetId="6" r:id="rId2"/>
    <sheet name="Case III Buy smaller &amp; alt Inv" sheetId="2" r:id="rId3"/>
    <sheet name="Comparison Sheet w discounting" sheetId="4" r:id="rId4"/>
    <sheet name="Mortgage Table" sheetId="3" r:id="rId5"/>
    <sheet name="Mortgage vs Other -Time Value" sheetId="5" r:id="rId6"/>
  </sheets>
  <calcPr calcId="145621"/>
</workbook>
</file>

<file path=xl/calcChain.xml><?xml version="1.0" encoding="utf-8"?>
<calcChain xmlns="http://schemas.openxmlformats.org/spreadsheetml/2006/main">
  <c r="E8" i="4" l="1"/>
  <c r="C36" i="6"/>
  <c r="C37" i="6" s="1"/>
  <c r="C28" i="1"/>
  <c r="D22" i="5"/>
  <c r="D21" i="5"/>
  <c r="D20" i="5"/>
  <c r="D19" i="5"/>
  <c r="D18" i="5"/>
  <c r="D17" i="5"/>
  <c r="D16" i="5"/>
  <c r="D15" i="5"/>
  <c r="D14" i="5"/>
  <c r="C38" i="6" l="1"/>
  <c r="C39" i="6" s="1"/>
  <c r="C40" i="6" s="1"/>
  <c r="C41" i="6" s="1"/>
  <c r="C42" i="6" s="1"/>
  <c r="C43" i="6" s="1"/>
  <c r="C44" i="6" s="1"/>
  <c r="D13" i="5"/>
  <c r="D25" i="5" s="1"/>
  <c r="J28" i="6"/>
  <c r="K9" i="2"/>
  <c r="K11" i="2" s="1"/>
  <c r="K13" i="2" s="1"/>
  <c r="L12" i="4" s="1"/>
  <c r="L12" i="6"/>
  <c r="J13" i="6"/>
  <c r="J14" i="6" s="1"/>
  <c r="C46" i="6" l="1"/>
  <c r="J12" i="4"/>
  <c r="J15" i="6"/>
  <c r="L14" i="6"/>
  <c r="L13" i="6"/>
  <c r="J16" i="6" l="1"/>
  <c r="L15" i="6"/>
  <c r="O12" i="6"/>
  <c r="D16" i="6"/>
  <c r="C26" i="6"/>
  <c r="D19" i="6" l="1"/>
  <c r="J17" i="6"/>
  <c r="L16" i="6"/>
  <c r="O13" i="6"/>
  <c r="C25" i="5"/>
  <c r="F17" i="4" s="1"/>
  <c r="B27" i="5"/>
  <c r="D27" i="5" s="1"/>
  <c r="J18" i="6" l="1"/>
  <c r="L17" i="6"/>
  <c r="O14" i="6"/>
  <c r="G8" i="4"/>
  <c r="K17" i="4" l="1"/>
  <c r="J19" i="6"/>
  <c r="L18" i="6"/>
  <c r="O15" i="6"/>
  <c r="D5" i="3"/>
  <c r="E5" i="3"/>
  <c r="G5" i="3" s="1"/>
  <c r="H5" i="3" s="1"/>
  <c r="C29" i="2"/>
  <c r="D18" i="2"/>
  <c r="D20" i="2"/>
  <c r="D18" i="1"/>
  <c r="D19" i="2"/>
  <c r="D19" i="1"/>
  <c r="D22" i="2" l="1"/>
  <c r="E12" i="4" s="1"/>
  <c r="G12" i="4" s="1"/>
  <c r="J20" i="6"/>
  <c r="L19" i="6"/>
  <c r="O16" i="6"/>
  <c r="I5" i="3"/>
  <c r="C6" i="3" s="1"/>
  <c r="D6" i="3" s="1"/>
  <c r="D21" i="1"/>
  <c r="J7" i="1" s="1"/>
  <c r="J9" i="1" s="1"/>
  <c r="J11" i="1" s="1"/>
  <c r="E6" i="3"/>
  <c r="G6" i="3" s="1"/>
  <c r="H6" i="3" s="1"/>
  <c r="L8" i="4" l="1"/>
  <c r="J8" i="4"/>
  <c r="J21" i="6"/>
  <c r="L21" i="6" s="1"/>
  <c r="L20" i="6"/>
  <c r="O17" i="6"/>
  <c r="I6" i="3"/>
  <c r="C7" i="3" s="1"/>
  <c r="L23" i="6" l="1"/>
  <c r="O18" i="6"/>
  <c r="E7" i="3"/>
  <c r="D7" i="3"/>
  <c r="J27" i="6" l="1"/>
  <c r="O19" i="6"/>
  <c r="I7" i="3"/>
  <c r="C8" i="3" s="1"/>
  <c r="G7" i="3"/>
  <c r="H7" i="3" s="1"/>
  <c r="J29" i="6" l="1"/>
  <c r="J31" i="6" s="1"/>
  <c r="O20" i="6"/>
  <c r="D8" i="3"/>
  <c r="E8" i="3"/>
  <c r="O21" i="6" l="1"/>
  <c r="J23" i="6"/>
  <c r="F10" i="4" s="1"/>
  <c r="G10" i="4" s="1"/>
  <c r="I8" i="3"/>
  <c r="C9" i="3" s="1"/>
  <c r="G8" i="3"/>
  <c r="H8" i="3" s="1"/>
  <c r="O23" i="6" l="1"/>
  <c r="O24" i="6" s="1"/>
  <c r="D9" i="3"/>
  <c r="E9" i="3"/>
  <c r="K10" i="4" l="1"/>
  <c r="J10" i="4"/>
  <c r="I9" i="3"/>
  <c r="C10" i="3" s="1"/>
  <c r="G9" i="3"/>
  <c r="H9" i="3" s="1"/>
  <c r="L10" i="4" l="1"/>
  <c r="D10" i="3"/>
  <c r="E10" i="3"/>
  <c r="G10" i="3" l="1"/>
  <c r="H10" i="3" s="1"/>
  <c r="I10" i="3"/>
  <c r="C11" i="3" s="1"/>
  <c r="D11" i="3" l="1"/>
  <c r="E11" i="3"/>
  <c r="G11" i="3" l="1"/>
  <c r="H11" i="3" s="1"/>
  <c r="I11" i="3"/>
  <c r="C12" i="3" s="1"/>
  <c r="E12" i="3" l="1"/>
  <c r="D12" i="3"/>
  <c r="I12" i="3" l="1"/>
  <c r="C13" i="3" s="1"/>
  <c r="G12" i="3"/>
  <c r="H12" i="3" s="1"/>
  <c r="D13" i="3" l="1"/>
  <c r="E13" i="3"/>
  <c r="G13" i="3" l="1"/>
  <c r="H13" i="3" s="1"/>
  <c r="I13" i="3"/>
  <c r="C14" i="3" s="1"/>
  <c r="E14" i="3" l="1"/>
  <c r="D14" i="3"/>
  <c r="G14" i="3" l="1"/>
  <c r="H14" i="3" s="1"/>
  <c r="I14" i="3"/>
  <c r="C15" i="3" l="1"/>
  <c r="D15" i="3" s="1"/>
  <c r="B29" i="5"/>
  <c r="B30" i="5" s="1"/>
  <c r="E15" i="3"/>
  <c r="B32" i="5" l="1"/>
  <c r="D30" i="5"/>
  <c r="D32" i="5" s="1"/>
  <c r="G15" i="3"/>
  <c r="H15" i="3" s="1"/>
  <c r="I15" i="3"/>
  <c r="C16" i="3" s="1"/>
  <c r="B33" i="5" l="1"/>
  <c r="E17" i="4"/>
  <c r="G17" i="4" s="1"/>
  <c r="D33" i="5"/>
  <c r="J17" i="4"/>
  <c r="L17" i="4" s="1"/>
  <c r="E16" i="3"/>
  <c r="D16" i="3"/>
  <c r="G16" i="3" l="1"/>
  <c r="H16" i="3" s="1"/>
  <c r="I16" i="3"/>
  <c r="C17" i="3" s="1"/>
  <c r="E17" i="3" l="1"/>
  <c r="D17" i="3"/>
  <c r="I17" i="3" l="1"/>
  <c r="C18" i="3" s="1"/>
  <c r="G17" i="3"/>
  <c r="H17" i="3" s="1"/>
  <c r="D18" i="3" l="1"/>
  <c r="E18" i="3"/>
  <c r="I18" i="3" l="1"/>
  <c r="C19" i="3" s="1"/>
  <c r="G18" i="3"/>
  <c r="H18" i="3" s="1"/>
  <c r="D19" i="3" l="1"/>
  <c r="E19" i="3"/>
  <c r="G19" i="3" l="1"/>
  <c r="H19" i="3" s="1"/>
  <c r="I19" i="3"/>
</calcChain>
</file>

<file path=xl/sharedStrings.xml><?xml version="1.0" encoding="utf-8"?>
<sst xmlns="http://schemas.openxmlformats.org/spreadsheetml/2006/main" count="171" uniqueCount="139">
  <si>
    <t>Property Price</t>
  </si>
  <si>
    <t>(Reg &amp; Service Tax)</t>
  </si>
  <si>
    <t>(in lakhs)</t>
  </si>
  <si>
    <t>Assuming 12% increase yoy</t>
  </si>
  <si>
    <t>Assuming depreciates 1%/yr</t>
  </si>
  <si>
    <t>Net on Net</t>
  </si>
  <si>
    <t>Assume a Property of 2000sqft is bought for 1cr and the apartment</t>
  </si>
  <si>
    <t xml:space="preserve">registration and other costs all in 2013. </t>
  </si>
  <si>
    <t>Rest of cost (Building etc)</t>
  </si>
  <si>
    <t>depreciates by 1% a year.  Then in the year 2013 and 2023 we have</t>
  </si>
  <si>
    <t>You go ahead and buy land for 1cr instead. Assume you spend</t>
  </si>
  <si>
    <t>Assume your land appreciates at 12% a year</t>
  </si>
  <si>
    <t>Land Cost</t>
  </si>
  <si>
    <t>registration and other expenses of 9 lakhs</t>
  </si>
  <si>
    <t>rent for 10 years</t>
  </si>
  <si>
    <t>Assume your rent increase by 12% per year</t>
  </si>
  <si>
    <t>Assume you RENT a property of 2000sqft worth 1cr at 25k/month</t>
  </si>
  <si>
    <t>Case I : Apartment Property Bought for the Whole Sum</t>
  </si>
  <si>
    <t>Case III : Buying a smaller apartment and investing in Mutual Funds</t>
  </si>
  <si>
    <t>Case II: Renting out and buying land as alternative asset</t>
  </si>
  <si>
    <t>Assume you BUY a property of 1000sqft worth 50 lakhs and invest the</t>
  </si>
  <si>
    <t>Land Price</t>
  </si>
  <si>
    <t>(Registration &amp; other)</t>
  </si>
  <si>
    <t>(Reg, Service Tax &amp; Other)</t>
  </si>
  <si>
    <t>has a UDS of 1200 sqft. Assume you spend 6 lakhs on service tax and</t>
  </si>
  <si>
    <t>Land Cost of 1200sqft ie..UDS</t>
  </si>
  <si>
    <t>to 3 lakhs</t>
  </si>
  <si>
    <t>rest in Mutual Funds. Let's assume your registration and Service tax came</t>
  </si>
  <si>
    <t>Mutual Fund Inv</t>
  </si>
  <si>
    <t>UDS Appreciation</t>
  </si>
  <si>
    <t>Assume 600 Sft of UDS (Undivided share of land)  you get costs 17.5 lakhs</t>
  </si>
  <si>
    <t xml:space="preserve"> argument sake</t>
  </si>
  <si>
    <t>Assume 1200sqft of the UDS (Undivided share of land) costs 35lakhs for</t>
  </si>
  <si>
    <t>Assuming depreciation of 1% yoy</t>
  </si>
  <si>
    <t>Reg &amp; Service tax</t>
  </si>
  <si>
    <t>Downpayment</t>
  </si>
  <si>
    <t>EMI</t>
  </si>
  <si>
    <t>Sold Flat at</t>
  </si>
  <si>
    <t>Gain</t>
  </si>
  <si>
    <t>Case IV : Apartment Property Bought for the Whole Sum but in EMI</t>
  </si>
  <si>
    <t>Assuming 15% increase yoy</t>
  </si>
  <si>
    <t>Loan amount</t>
  </si>
  <si>
    <t>Interest</t>
  </si>
  <si>
    <t>Home Equity</t>
  </si>
  <si>
    <t>Year</t>
  </si>
  <si>
    <t>Money Owed to the bank</t>
  </si>
  <si>
    <t>Assume whole apartment rises by 15% a year</t>
  </si>
  <si>
    <t>Money paid up</t>
  </si>
  <si>
    <t>Assuming 1L a month.</t>
  </si>
  <si>
    <t>w/o discounting</t>
  </si>
  <si>
    <t>with discounting</t>
  </si>
  <si>
    <t>%</t>
  </si>
  <si>
    <t xml:space="preserve">Gain </t>
  </si>
  <si>
    <t>(10% a yr for 10 yrs)</t>
  </si>
  <si>
    <t>Investment</t>
  </si>
  <si>
    <t>CASE I</t>
  </si>
  <si>
    <t>CASE II</t>
  </si>
  <si>
    <t>CASE III</t>
  </si>
  <si>
    <t>CASE IV</t>
  </si>
  <si>
    <t>CASE of investment</t>
  </si>
  <si>
    <t>From table after 10 years</t>
  </si>
  <si>
    <t>Sold at beginning of yr</t>
  </si>
  <si>
    <t>Equity Accum/Month</t>
  </si>
  <si>
    <t>Interest per month</t>
  </si>
  <si>
    <t>EMI per month</t>
  </si>
  <si>
    <t xml:space="preserve">Cumulative Equity </t>
  </si>
  <si>
    <t>Interest for the year</t>
  </si>
  <si>
    <t>Equity Accum/year</t>
  </si>
  <si>
    <t>Disc to P.V.</t>
  </si>
  <si>
    <t>Growth in Rentals</t>
  </si>
  <si>
    <t>NET GAIN of 352-109=243 lakhs</t>
  </si>
  <si>
    <t>(All Values in Lakhs)</t>
  </si>
  <si>
    <t>(All figures in Lakhs of Rupees)</t>
  </si>
  <si>
    <t xml:space="preserve">Includes downpayment </t>
  </si>
  <si>
    <t xml:space="preserve"> For a yr it is equal to 12 L</t>
  </si>
  <si>
    <t>Present Values</t>
  </si>
  <si>
    <t>after Discounting</t>
  </si>
  <si>
    <t>ROI</t>
  </si>
  <si>
    <t>Nominal Gain</t>
  </si>
  <si>
    <t>Real Gain</t>
  </si>
  <si>
    <t>Real ROI</t>
  </si>
  <si>
    <t>(This calculation was done ignoring the time value of money for simplification)</t>
  </si>
  <si>
    <t xml:space="preserve">Lets assume the land appreciates by 15% a year and the building </t>
  </si>
  <si>
    <t>We have a net gain of 243 Lakhs on (109+53) lakhs of investment a return of 150%</t>
  </si>
  <si>
    <t>NET GAIN of 314-106 = 208 lakhs</t>
  </si>
  <si>
    <t>Assume your UDS appreciates at 15% a year</t>
  </si>
  <si>
    <t>Assume your Mutual Fund  increase by 15% per year</t>
  </si>
  <si>
    <t>We have a net gain of 208 Lakhs on 106 lakhs of investment a return of 196%</t>
  </si>
  <si>
    <t>Discounting Calculation</t>
  </si>
  <si>
    <t>Nominal ROI</t>
  </si>
  <si>
    <t>at 12%</t>
  </si>
  <si>
    <t xml:space="preserve">Taking to FV </t>
  </si>
  <si>
    <t>FV at yr 10</t>
  </si>
  <si>
    <t>PV Now</t>
  </si>
  <si>
    <t>FV</t>
  </si>
  <si>
    <t>PV</t>
  </si>
  <si>
    <t>Future Value</t>
  </si>
  <si>
    <t>Present Value</t>
  </si>
  <si>
    <t>PV of Profits</t>
  </si>
  <si>
    <t>Net gain</t>
  </si>
  <si>
    <t>Notional Return</t>
  </si>
  <si>
    <t>(in lakhs) (Real Return)</t>
  </si>
  <si>
    <t xml:space="preserve">We have a net gain of 219.8 Lakhs on an investment 140 lakhs of investment a return of 157% </t>
  </si>
  <si>
    <t>Buying an Apartment with the entire sum</t>
  </si>
  <si>
    <t>Buying land and renting out to live in</t>
  </si>
  <si>
    <t>Buying a smaller apt &amp; making MF investmenst</t>
  </si>
  <si>
    <t>Net gain got after subracting investment of 106 L</t>
  </si>
  <si>
    <t xml:space="preserve">FV of apartment is Rs 201L ; PV is got by discounting by 6% over 10 yrs </t>
  </si>
  <si>
    <t>(PV is Present Value)</t>
  </si>
  <si>
    <t xml:space="preserve"> (FV is Future Value)</t>
  </si>
  <si>
    <t>PV of Selling price of apartment</t>
  </si>
  <si>
    <t>(In lakhs)</t>
  </si>
  <si>
    <t>CASE I : Real ROI Calculation</t>
  </si>
  <si>
    <t xml:space="preserve"> Real ROI Calculation</t>
  </si>
  <si>
    <t>Case II</t>
  </si>
  <si>
    <t>at 6% discount rate</t>
  </si>
  <si>
    <t>at 6% inflation  rate</t>
  </si>
  <si>
    <t xml:space="preserve"> got from 109L inv + 36.71L PV of all rents paid</t>
  </si>
  <si>
    <t>PV of Land</t>
  </si>
  <si>
    <t>got by discounting 405L at 6% over 10 yrs</t>
  </si>
  <si>
    <t>CASE III : Real ROI Calculation</t>
  </si>
  <si>
    <t xml:space="preserve">FV of Investments is Rs 314L ; PV is got by discounting by 6% over 10 yrs </t>
  </si>
  <si>
    <t xml:space="preserve">PV of Inv. </t>
  </si>
  <si>
    <t xml:space="preserve"> = 225.9 - 25.0-108.3= 92.6L</t>
  </si>
  <si>
    <t>on investment of 108.3L</t>
  </si>
  <si>
    <t>On Applying Time value of money we have Net Gain is 92.6 lakhs on an investment of 108.3 lakhs</t>
  </si>
  <si>
    <t>a return of 85%</t>
  </si>
  <si>
    <t>NET GAIN of 200.4-106 = 94.4 Lakhs</t>
  </si>
  <si>
    <t>We have a net gain of 94.4 Lakhs on 106 lakhs of investment a return of 89.1%</t>
  </si>
  <si>
    <t>This is a 85% gain</t>
  </si>
  <si>
    <t>ROI after Beating Inflation</t>
  </si>
  <si>
    <t>Rentals over a 10 yr period</t>
  </si>
  <si>
    <t>Table 1a</t>
  </si>
  <si>
    <t>(See Table 1a  below)</t>
  </si>
  <si>
    <t>Rentals</t>
  </si>
  <si>
    <t>PV of Rentals</t>
  </si>
  <si>
    <t>NET GAIN = P.V. of  selling price - P.V. of money owed to bank- P.V. of downpayments and EMI</t>
  </si>
  <si>
    <t>* Note depreciation on the buiding was not considered</t>
  </si>
  <si>
    <t>Taking out a home loan*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</si>
</sst>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0_);\(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5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0" fontId="1" fillId="0" borderId="2" xfId="0" applyNumberFormat="1" applyFont="1" applyBorder="1"/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9" fontId="1" fillId="2" borderId="5" xfId="1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7" fontId="1" fillId="2" borderId="10" xfId="1" applyNumberFormat="1" applyFont="1" applyFill="1" applyBorder="1" applyAlignment="1">
      <alignment horizontal="center"/>
    </xf>
    <xf numFmtId="2" fontId="1" fillId="0" borderId="0" xfId="0" applyNumberFormat="1" applyFont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3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3" borderId="9" xfId="0" applyFont="1" applyFill="1" applyBorder="1" applyAlignment="1">
      <alignment horizontal="center" vertical="top"/>
    </xf>
    <xf numFmtId="9" fontId="1" fillId="3" borderId="0" xfId="0" applyNumberFormat="1" applyFont="1" applyFill="1" applyBorder="1" applyAlignment="1">
      <alignment horizontal="center" vertical="top"/>
    </xf>
    <xf numFmtId="9" fontId="1" fillId="3" borderId="5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166" fontId="1" fillId="3" borderId="5" xfId="1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9" fontId="1" fillId="0" borderId="5" xfId="1" applyFont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9" fontId="1" fillId="2" borderId="0" xfId="0" applyNumberFormat="1" applyFont="1" applyFill="1" applyBorder="1" applyAlignment="1">
      <alignment horizontal="center" vertical="top"/>
    </xf>
    <xf numFmtId="9" fontId="1" fillId="2" borderId="5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164" fontId="1" fillId="2" borderId="10" xfId="0" applyNumberFormat="1" applyFont="1" applyFill="1" applyBorder="1" applyAlignment="1">
      <alignment horizontal="center" vertical="top"/>
    </xf>
    <xf numFmtId="166" fontId="1" fillId="2" borderId="5" xfId="1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2" fontId="1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0" fontId="1" fillId="0" borderId="0" xfId="1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right"/>
    </xf>
    <xf numFmtId="2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/>
    <xf numFmtId="164" fontId="1" fillId="0" borderId="5" xfId="0" applyNumberFormat="1" applyFont="1" applyBorder="1" applyAlignment="1"/>
    <xf numFmtId="10" fontId="1" fillId="0" borderId="0" xfId="1" applyNumberFormat="1" applyFont="1" applyBorder="1"/>
    <xf numFmtId="1" fontId="1" fillId="3" borderId="10" xfId="0" applyNumberFormat="1" applyFont="1" applyFill="1" applyBorder="1" applyAlignment="1">
      <alignment horizontal="center" vertical="top"/>
    </xf>
    <xf numFmtId="2" fontId="3" fillId="0" borderId="2" xfId="0" applyNumberFormat="1" applyFont="1" applyBorder="1"/>
    <xf numFmtId="0" fontId="3" fillId="0" borderId="1" xfId="0" applyFont="1" applyBorder="1"/>
    <xf numFmtId="0" fontId="1" fillId="0" borderId="4" xfId="0" applyFont="1" applyBorder="1" applyAlignment="1">
      <alignment horizontal="left"/>
    </xf>
    <xf numFmtId="166" fontId="1" fillId="0" borderId="0" xfId="1" applyNumberFormat="1" applyFont="1" applyBorder="1"/>
    <xf numFmtId="9" fontId="1" fillId="0" borderId="0" xfId="1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9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I20" sqref="I20"/>
    </sheetView>
  </sheetViews>
  <sheetFormatPr defaultRowHeight="11.25" x14ac:dyDescent="0.2"/>
  <cols>
    <col min="1" max="1" width="1.28515625" style="1" customWidth="1"/>
    <col min="2" max="2" width="22.7109375" style="1" customWidth="1"/>
    <col min="3" max="3" width="7.28515625" style="1" customWidth="1"/>
    <col min="4" max="4" width="5.28515625" style="1" customWidth="1"/>
    <col min="5" max="5" width="25.28515625" style="1" customWidth="1"/>
    <col min="6" max="6" width="1" style="1" customWidth="1"/>
    <col min="7" max="7" width="6.28515625" style="1" customWidth="1"/>
    <col min="8" max="8" width="2.7109375" style="1" customWidth="1"/>
    <col min="9" max="9" width="21.42578125" style="101" customWidth="1"/>
    <col min="10" max="10" width="7" style="1" customWidth="1"/>
    <col min="11" max="11" width="25.28515625" style="1" customWidth="1"/>
    <col min="12" max="16384" width="9.140625" style="1"/>
  </cols>
  <sheetData>
    <row r="1" spans="2:11" ht="12" thickBot="1" x14ac:dyDescent="0.25"/>
    <row r="2" spans="2:11" ht="12" thickTop="1" x14ac:dyDescent="0.2">
      <c r="B2" s="117" t="s">
        <v>17</v>
      </c>
      <c r="C2" s="3"/>
      <c r="D2" s="3"/>
      <c r="E2" s="4"/>
      <c r="H2" s="2"/>
      <c r="I2" s="116" t="s">
        <v>112</v>
      </c>
      <c r="J2" s="3"/>
      <c r="K2" s="4"/>
    </row>
    <row r="3" spans="2:11" x14ac:dyDescent="0.2">
      <c r="B3" s="5"/>
      <c r="C3" s="6"/>
      <c r="D3" s="6"/>
      <c r="E3" s="7"/>
      <c r="H3" s="5"/>
      <c r="J3" s="6"/>
      <c r="K3" s="7"/>
    </row>
    <row r="4" spans="2:11" x14ac:dyDescent="0.2">
      <c r="B4" s="5" t="s">
        <v>6</v>
      </c>
      <c r="C4" s="6"/>
      <c r="D4" s="6"/>
      <c r="E4" s="7"/>
      <c r="H4" s="5"/>
      <c r="I4" s="6" t="s">
        <v>108</v>
      </c>
      <c r="J4" s="6" t="s">
        <v>111</v>
      </c>
      <c r="K4" s="7"/>
    </row>
    <row r="5" spans="2:11" ht="12" thickBot="1" x14ac:dyDescent="0.25">
      <c r="B5" s="5" t="s">
        <v>24</v>
      </c>
      <c r="C5" s="6"/>
      <c r="D5" s="6"/>
      <c r="E5" s="7"/>
      <c r="H5" s="5"/>
      <c r="I5" s="15" t="s">
        <v>109</v>
      </c>
      <c r="J5" s="15"/>
      <c r="K5" s="16"/>
    </row>
    <row r="6" spans="2:11" ht="12" thickTop="1" x14ac:dyDescent="0.2">
      <c r="B6" s="5" t="s">
        <v>7</v>
      </c>
      <c r="C6" s="6"/>
      <c r="D6" s="6"/>
      <c r="E6" s="7"/>
      <c r="H6" s="5"/>
      <c r="I6" s="102"/>
      <c r="J6" s="6"/>
      <c r="K6" s="7"/>
    </row>
    <row r="7" spans="2:11" ht="20.25" customHeight="1" x14ac:dyDescent="0.2">
      <c r="B7" s="5"/>
      <c r="C7" s="6"/>
      <c r="D7" s="6"/>
      <c r="E7" s="7"/>
      <c r="H7" s="5"/>
      <c r="I7" s="104" t="s">
        <v>110</v>
      </c>
      <c r="J7" s="105">
        <f>D21/(1+0.06)^10</f>
        <v>111.89078558281183</v>
      </c>
      <c r="K7" s="58" t="s">
        <v>107</v>
      </c>
    </row>
    <row r="8" spans="2:11" x14ac:dyDescent="0.2">
      <c r="B8" s="5" t="s">
        <v>32</v>
      </c>
      <c r="C8" s="6"/>
      <c r="D8" s="6"/>
      <c r="E8" s="7"/>
      <c r="H8" s="5"/>
      <c r="I8" s="104"/>
      <c r="J8" s="106"/>
      <c r="K8" s="58"/>
    </row>
    <row r="9" spans="2:11" ht="19.5" customHeight="1" x14ac:dyDescent="0.2">
      <c r="B9" s="78" t="s">
        <v>31</v>
      </c>
      <c r="C9" s="6"/>
      <c r="D9" s="6"/>
      <c r="E9" s="7"/>
      <c r="H9" s="5"/>
      <c r="I9" s="104" t="s">
        <v>99</v>
      </c>
      <c r="J9" s="105">
        <f>J7-C21</f>
        <v>5.8907855828118301</v>
      </c>
      <c r="K9" s="58" t="s">
        <v>106</v>
      </c>
    </row>
    <row r="10" spans="2:11" x14ac:dyDescent="0.2">
      <c r="B10" s="5" t="s">
        <v>82</v>
      </c>
      <c r="C10" s="6"/>
      <c r="D10" s="6"/>
      <c r="E10" s="7"/>
      <c r="H10" s="5"/>
      <c r="I10" s="107"/>
      <c r="J10" s="106"/>
      <c r="K10" s="7"/>
    </row>
    <row r="11" spans="2:11" x14ac:dyDescent="0.2">
      <c r="B11" s="5" t="s">
        <v>9</v>
      </c>
      <c r="C11" s="6"/>
      <c r="D11" s="6"/>
      <c r="E11" s="7"/>
      <c r="H11" s="5"/>
      <c r="I11" s="107" t="s">
        <v>80</v>
      </c>
      <c r="J11" s="108">
        <f>J9/C21</f>
        <v>5.5573448894451226E-2</v>
      </c>
      <c r="K11" s="7" t="s">
        <v>130</v>
      </c>
    </row>
    <row r="12" spans="2:11" ht="12" thickBot="1" x14ac:dyDescent="0.25">
      <c r="B12" s="5"/>
      <c r="C12" s="6"/>
      <c r="D12" s="6"/>
      <c r="E12" s="7"/>
      <c r="H12" s="10"/>
      <c r="I12" s="103"/>
      <c r="J12" s="15"/>
      <c r="K12" s="16"/>
    </row>
    <row r="13" spans="2:11" ht="12" thickTop="1" x14ac:dyDescent="0.2">
      <c r="B13" s="2"/>
      <c r="C13" s="8">
        <v>2013</v>
      </c>
      <c r="D13" s="9">
        <v>2023</v>
      </c>
      <c r="E13" s="7"/>
    </row>
    <row r="14" spans="2:11" ht="12" thickBot="1" x14ac:dyDescent="0.25">
      <c r="B14" s="10"/>
      <c r="C14" s="125" t="s">
        <v>2</v>
      </c>
      <c r="D14" s="126"/>
      <c r="E14" s="7"/>
    </row>
    <row r="15" spans="2:11" ht="12" thickTop="1" x14ac:dyDescent="0.2">
      <c r="B15" s="11" t="s">
        <v>0</v>
      </c>
      <c r="C15" s="12">
        <v>100</v>
      </c>
      <c r="D15" s="7"/>
      <c r="E15" s="7"/>
    </row>
    <row r="16" spans="2:11" x14ac:dyDescent="0.2">
      <c r="B16" s="11" t="s">
        <v>23</v>
      </c>
      <c r="C16" s="12">
        <v>6</v>
      </c>
      <c r="D16" s="7"/>
      <c r="E16" s="7"/>
    </row>
    <row r="17" spans="2:5" x14ac:dyDescent="0.2">
      <c r="B17" s="11"/>
      <c r="C17" s="12"/>
      <c r="D17" s="7"/>
      <c r="E17" s="7"/>
    </row>
    <row r="18" spans="2:5" x14ac:dyDescent="0.2">
      <c r="B18" s="11" t="s">
        <v>25</v>
      </c>
      <c r="C18" s="12">
        <v>35</v>
      </c>
      <c r="D18" s="30">
        <f>C18*(1.15)^(D13-C13)</f>
        <v>141.59452074977673</v>
      </c>
      <c r="E18" s="7" t="s">
        <v>40</v>
      </c>
    </row>
    <row r="19" spans="2:5" x14ac:dyDescent="0.2">
      <c r="B19" s="11" t="s">
        <v>8</v>
      </c>
      <c r="C19" s="12">
        <v>65</v>
      </c>
      <c r="D19" s="30">
        <f>65*0.99^(D13-C13)</f>
        <v>58.78483487557228</v>
      </c>
      <c r="E19" s="7" t="s">
        <v>4</v>
      </c>
    </row>
    <row r="20" spans="2:5" x14ac:dyDescent="0.2">
      <c r="B20" s="11"/>
      <c r="C20" s="12"/>
      <c r="D20" s="7"/>
      <c r="E20" s="7"/>
    </row>
    <row r="21" spans="2:5" x14ac:dyDescent="0.2">
      <c r="B21" s="11" t="s">
        <v>5</v>
      </c>
      <c r="C21" s="12">
        <v>106</v>
      </c>
      <c r="D21" s="30">
        <f>SUM(D18:D19)</f>
        <v>200.37935562534901</v>
      </c>
      <c r="E21" s="7" t="s">
        <v>127</v>
      </c>
    </row>
    <row r="22" spans="2:5" ht="12" thickBot="1" x14ac:dyDescent="0.25">
      <c r="B22" s="10"/>
      <c r="C22" s="15"/>
      <c r="D22" s="16"/>
      <c r="E22" s="7"/>
    </row>
    <row r="23" spans="2:5" ht="12" thickTop="1" x14ac:dyDescent="0.2">
      <c r="B23" s="5"/>
      <c r="C23" s="6"/>
      <c r="D23" s="6"/>
      <c r="E23" s="7"/>
    </row>
    <row r="24" spans="2:5" x14ac:dyDescent="0.2">
      <c r="B24" s="5" t="s">
        <v>128</v>
      </c>
      <c r="C24" s="6"/>
      <c r="D24" s="6"/>
      <c r="E24" s="7"/>
    </row>
    <row r="25" spans="2:5" x14ac:dyDescent="0.2">
      <c r="B25" s="5"/>
      <c r="C25" s="6"/>
      <c r="D25" s="6"/>
      <c r="E25" s="7"/>
    </row>
    <row r="26" spans="2:5" ht="12" thickBot="1" x14ac:dyDescent="0.25">
      <c r="B26" s="10"/>
      <c r="C26" s="15"/>
      <c r="D26" s="15"/>
      <c r="E26" s="16"/>
    </row>
    <row r="27" spans="2:5" ht="12" thickTop="1" x14ac:dyDescent="0.2">
      <c r="B27" s="2"/>
      <c r="C27" s="3"/>
      <c r="D27" s="3"/>
      <c r="E27" s="4"/>
    </row>
    <row r="28" spans="2:5" x14ac:dyDescent="0.2">
      <c r="B28" s="118" t="s">
        <v>89</v>
      </c>
      <c r="C28" s="119">
        <f>94.4/106</f>
        <v>0.89056603773584908</v>
      </c>
      <c r="D28" s="6"/>
      <c r="E28" s="7"/>
    </row>
    <row r="29" spans="2:5" ht="12" thickBot="1" x14ac:dyDescent="0.25">
      <c r="B29" s="10"/>
      <c r="C29" s="15"/>
      <c r="D29" s="15"/>
      <c r="E29" s="16"/>
    </row>
    <row r="30" spans="2:5" ht="12" thickTop="1" x14ac:dyDescent="0.2"/>
  </sheetData>
  <mergeCells count="1">
    <mergeCell ref="C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opLeftCell="A6" workbookViewId="0">
      <selection activeCell="K31" sqref="K31"/>
    </sheetView>
  </sheetViews>
  <sheetFormatPr defaultRowHeight="11.25" x14ac:dyDescent="0.2"/>
  <cols>
    <col min="1" max="1" width="5.140625" style="1" customWidth="1"/>
    <col min="2" max="2" width="19.28515625" style="1" customWidth="1"/>
    <col min="3" max="5" width="9.140625" style="1"/>
    <col min="6" max="6" width="10.42578125" style="1" customWidth="1"/>
    <col min="7" max="7" width="15.140625" style="1" bestFit="1" customWidth="1"/>
    <col min="8" max="8" width="9.140625" style="1"/>
    <col min="9" max="9" width="9" style="1" bestFit="1" customWidth="1"/>
    <col min="10" max="10" width="9.7109375" style="1" customWidth="1"/>
    <col min="11" max="11" width="6" style="1" customWidth="1"/>
    <col min="12" max="12" width="8.42578125" style="1" customWidth="1"/>
    <col min="13" max="13" width="16.5703125" style="1" customWidth="1"/>
    <col min="14" max="16384" width="9.140625" style="1"/>
  </cols>
  <sheetData>
    <row r="1" spans="2:16" ht="12" thickBot="1" x14ac:dyDescent="0.25"/>
    <row r="2" spans="2:16" ht="12" thickTop="1" x14ac:dyDescent="0.2">
      <c r="B2" s="117" t="s">
        <v>19</v>
      </c>
      <c r="C2" s="3"/>
      <c r="D2" s="3"/>
      <c r="E2" s="3"/>
      <c r="F2" s="3"/>
      <c r="G2" s="4"/>
      <c r="H2" s="6"/>
      <c r="I2" s="121" t="s">
        <v>114</v>
      </c>
      <c r="J2" s="122" t="s">
        <v>113</v>
      </c>
      <c r="K2" s="3"/>
      <c r="L2" s="3"/>
      <c r="M2" s="4"/>
      <c r="N2" s="3"/>
      <c r="O2" s="3"/>
      <c r="P2" s="4"/>
    </row>
    <row r="3" spans="2:16" x14ac:dyDescent="0.2">
      <c r="B3" s="5"/>
      <c r="C3" s="6"/>
      <c r="D3" s="6"/>
      <c r="E3" s="6"/>
      <c r="F3" s="6"/>
      <c r="G3" s="7"/>
      <c r="H3" s="6"/>
      <c r="I3" s="5"/>
      <c r="J3" s="6"/>
      <c r="K3" s="6"/>
      <c r="L3" s="6"/>
      <c r="M3" s="7"/>
      <c r="N3" s="6"/>
      <c r="O3" s="6"/>
      <c r="P3" s="7"/>
    </row>
    <row r="4" spans="2:16" x14ac:dyDescent="0.2">
      <c r="B4" s="5" t="s">
        <v>16</v>
      </c>
      <c r="C4" s="6"/>
      <c r="D4" s="6"/>
      <c r="E4" s="6"/>
      <c r="F4" s="6"/>
      <c r="G4" s="7"/>
      <c r="H4" s="6"/>
      <c r="I4" s="65" t="s">
        <v>94</v>
      </c>
      <c r="J4" s="6" t="s">
        <v>96</v>
      </c>
      <c r="K4" s="6"/>
      <c r="M4" s="7"/>
      <c r="N4" s="6"/>
      <c r="O4" s="6"/>
      <c r="P4" s="7"/>
    </row>
    <row r="5" spans="2:16" ht="12" thickBot="1" x14ac:dyDescent="0.25">
      <c r="B5" s="5" t="s">
        <v>10</v>
      </c>
      <c r="C5" s="6"/>
      <c r="D5" s="6"/>
      <c r="E5" s="6"/>
      <c r="F5" s="6"/>
      <c r="G5" s="7"/>
      <c r="H5" s="6"/>
      <c r="I5" s="109" t="s">
        <v>95</v>
      </c>
      <c r="J5" s="15" t="s">
        <v>97</v>
      </c>
      <c r="K5" s="15"/>
      <c r="M5" s="16"/>
      <c r="N5" s="15"/>
      <c r="O5" s="15"/>
      <c r="P5" s="16"/>
    </row>
    <row r="6" spans="2:16" ht="12" thickTop="1" x14ac:dyDescent="0.2">
      <c r="B6" s="5" t="s">
        <v>13</v>
      </c>
      <c r="C6" s="6"/>
      <c r="D6" s="6"/>
      <c r="E6" s="6"/>
      <c r="F6" s="6"/>
      <c r="G6" s="7"/>
      <c r="H6" s="6"/>
      <c r="I6" s="5"/>
      <c r="J6" s="6"/>
      <c r="K6" s="3"/>
      <c r="L6" s="3"/>
      <c r="M6" s="4"/>
      <c r="N6" s="6"/>
      <c r="O6" s="6"/>
      <c r="P6" s="7"/>
    </row>
    <row r="7" spans="2:16" x14ac:dyDescent="0.2">
      <c r="B7" s="5"/>
      <c r="C7" s="6"/>
      <c r="D7" s="6"/>
      <c r="E7" s="6"/>
      <c r="F7" s="6"/>
      <c r="G7" s="7"/>
      <c r="H7" s="6"/>
      <c r="I7" s="65" t="s">
        <v>44</v>
      </c>
      <c r="J7" s="6" t="s">
        <v>69</v>
      </c>
      <c r="K7" s="6"/>
      <c r="L7" s="6" t="s">
        <v>68</v>
      </c>
      <c r="M7" s="7"/>
      <c r="N7" s="6"/>
      <c r="O7" s="6" t="s">
        <v>91</v>
      </c>
      <c r="P7" s="7"/>
    </row>
    <row r="8" spans="2:16" x14ac:dyDescent="0.2">
      <c r="B8" s="5" t="s">
        <v>11</v>
      </c>
      <c r="C8" s="6"/>
      <c r="D8" s="6"/>
      <c r="E8" s="6"/>
      <c r="F8" s="6"/>
      <c r="G8" s="7"/>
      <c r="H8" s="6"/>
      <c r="I8" s="5"/>
      <c r="J8" s="6" t="s">
        <v>90</v>
      </c>
      <c r="K8" s="6"/>
      <c r="L8" s="6" t="s">
        <v>115</v>
      </c>
      <c r="M8" s="7"/>
      <c r="N8" s="6"/>
      <c r="O8" s="6" t="s">
        <v>116</v>
      </c>
      <c r="P8" s="7"/>
    </row>
    <row r="9" spans="2:16" x14ac:dyDescent="0.2">
      <c r="B9" s="5" t="s">
        <v>15</v>
      </c>
      <c r="C9" s="6"/>
      <c r="D9" s="6"/>
      <c r="E9" s="6"/>
      <c r="F9" s="6"/>
      <c r="G9" s="7"/>
      <c r="H9" s="6"/>
      <c r="I9" s="5"/>
      <c r="J9" s="6"/>
      <c r="K9" s="66"/>
      <c r="L9" s="6"/>
      <c r="M9" s="7"/>
      <c r="N9" s="6"/>
      <c r="O9" s="6"/>
      <c r="P9" s="7"/>
    </row>
    <row r="10" spans="2:16" ht="12" thickBot="1" x14ac:dyDescent="0.25">
      <c r="B10" s="5"/>
      <c r="C10" s="6"/>
      <c r="D10" s="6"/>
      <c r="E10" s="6"/>
      <c r="F10" s="6"/>
      <c r="G10" s="7"/>
      <c r="H10" s="6"/>
      <c r="I10" s="5"/>
      <c r="J10" s="66">
        <v>0.12</v>
      </c>
      <c r="K10" s="6"/>
      <c r="L10" s="66">
        <v>0.06</v>
      </c>
      <c r="M10" s="7"/>
      <c r="N10" s="6"/>
      <c r="O10" s="66">
        <v>0.06</v>
      </c>
      <c r="P10" s="7"/>
    </row>
    <row r="11" spans="2:16" ht="12" thickTop="1" x14ac:dyDescent="0.2">
      <c r="B11" s="2"/>
      <c r="C11" s="8">
        <v>2013</v>
      </c>
      <c r="D11" s="9">
        <v>2023</v>
      </c>
      <c r="E11" s="6"/>
      <c r="F11" s="6"/>
      <c r="G11" s="7"/>
      <c r="H11" s="6"/>
      <c r="I11" s="5"/>
      <c r="J11" s="31" t="s">
        <v>134</v>
      </c>
      <c r="K11" s="31"/>
      <c r="L11" s="31" t="s">
        <v>135</v>
      </c>
      <c r="M11" s="7"/>
      <c r="N11" s="6"/>
      <c r="O11" s="6"/>
      <c r="P11" s="7"/>
    </row>
    <row r="12" spans="2:16" ht="12" thickBot="1" x14ac:dyDescent="0.25">
      <c r="B12" s="10"/>
      <c r="C12" s="125" t="s">
        <v>2</v>
      </c>
      <c r="D12" s="126"/>
      <c r="E12" s="6"/>
      <c r="F12" s="6"/>
      <c r="G12" s="7"/>
      <c r="H12" s="6"/>
      <c r="I12" s="5">
        <v>1</v>
      </c>
      <c r="J12" s="6">
        <v>3</v>
      </c>
      <c r="K12" s="6"/>
      <c r="L12" s="110">
        <f t="shared" ref="L12:L21" si="0">J12/(1+$L$10)^(I12)</f>
        <v>2.8301886792452828</v>
      </c>
      <c r="M12" s="7"/>
      <c r="N12" s="6"/>
      <c r="O12" s="110">
        <f t="shared" ref="O12:O21" si="1">J12*(1+$O$10)^($I$21-I12)</f>
        <v>5.0684368770080788</v>
      </c>
      <c r="P12" s="7"/>
    </row>
    <row r="13" spans="2:16" ht="12" thickTop="1" x14ac:dyDescent="0.2">
      <c r="B13" s="11" t="s">
        <v>21</v>
      </c>
      <c r="C13" s="12">
        <v>100</v>
      </c>
      <c r="D13" s="7"/>
      <c r="E13" s="6"/>
      <c r="F13" s="6"/>
      <c r="G13" s="7"/>
      <c r="H13" s="6"/>
      <c r="I13" s="5">
        <v>2</v>
      </c>
      <c r="J13" s="6">
        <f t="shared" ref="J13:J21" si="2">(1+$J$10)*J12</f>
        <v>3.3600000000000003</v>
      </c>
      <c r="K13" s="6"/>
      <c r="L13" s="110">
        <f t="shared" si="0"/>
        <v>2.9903880384478461</v>
      </c>
      <c r="M13" s="7"/>
      <c r="N13" s="6"/>
      <c r="O13" s="110">
        <f t="shared" si="1"/>
        <v>5.3553295304236306</v>
      </c>
      <c r="P13" s="7"/>
    </row>
    <row r="14" spans="2:16" x14ac:dyDescent="0.2">
      <c r="B14" s="11" t="s">
        <v>22</v>
      </c>
      <c r="C14" s="12">
        <v>9</v>
      </c>
      <c r="D14" s="7"/>
      <c r="E14" s="6"/>
      <c r="F14" s="6"/>
      <c r="G14" s="7"/>
      <c r="H14" s="6"/>
      <c r="I14" s="5">
        <v>3</v>
      </c>
      <c r="J14" s="110">
        <f t="shared" si="2"/>
        <v>3.7632000000000008</v>
      </c>
      <c r="K14" s="6"/>
      <c r="L14" s="110">
        <f t="shared" si="0"/>
        <v>3.1596552859071583</v>
      </c>
      <c r="M14" s="7"/>
      <c r="N14" s="6"/>
      <c r="O14" s="110">
        <f t="shared" si="1"/>
        <v>5.6584613906362904</v>
      </c>
      <c r="P14" s="7"/>
    </row>
    <row r="15" spans="2:16" x14ac:dyDescent="0.2">
      <c r="B15" s="11"/>
      <c r="C15" s="6"/>
      <c r="D15" s="7"/>
      <c r="E15" s="6"/>
      <c r="F15" s="6"/>
      <c r="G15" s="7"/>
      <c r="H15" s="6"/>
      <c r="I15" s="5">
        <v>4</v>
      </c>
      <c r="J15" s="110">
        <f t="shared" si="2"/>
        <v>4.2147840000000016</v>
      </c>
      <c r="K15" s="6"/>
      <c r="L15" s="110">
        <f t="shared" si="0"/>
        <v>3.3385036983169978</v>
      </c>
      <c r="M15" s="7"/>
      <c r="N15" s="6"/>
      <c r="O15" s="110">
        <f t="shared" si="1"/>
        <v>5.9787516580307978</v>
      </c>
      <c r="P15" s="7"/>
    </row>
    <row r="16" spans="2:16" x14ac:dyDescent="0.2">
      <c r="B16" s="11" t="s">
        <v>12</v>
      </c>
      <c r="C16" s="12">
        <v>100</v>
      </c>
      <c r="D16" s="13">
        <f>C16*(1.15)^(D11-C11)</f>
        <v>404.55577357079068</v>
      </c>
      <c r="E16" s="6" t="s">
        <v>40</v>
      </c>
      <c r="F16" s="6"/>
      <c r="G16" s="7"/>
      <c r="H16" s="6"/>
      <c r="I16" s="5">
        <v>5</v>
      </c>
      <c r="J16" s="110">
        <f t="shared" si="2"/>
        <v>4.7205580800000027</v>
      </c>
      <c r="K16" s="6"/>
      <c r="L16" s="110">
        <f t="shared" si="0"/>
        <v>3.5274756057689034</v>
      </c>
      <c r="M16" s="7"/>
      <c r="N16" s="6"/>
      <c r="O16" s="110">
        <f t="shared" si="1"/>
        <v>6.3171715632023533</v>
      </c>
      <c r="P16" s="7"/>
    </row>
    <row r="17" spans="2:16" x14ac:dyDescent="0.2">
      <c r="B17" s="11" t="s">
        <v>14</v>
      </c>
      <c r="C17" s="12"/>
      <c r="D17" s="13">
        <v>-53</v>
      </c>
      <c r="E17" s="6" t="s">
        <v>3</v>
      </c>
      <c r="F17" s="6"/>
      <c r="G17" s="7" t="s">
        <v>133</v>
      </c>
      <c r="H17" s="6"/>
      <c r="I17" s="5">
        <v>6</v>
      </c>
      <c r="J17" s="110">
        <f t="shared" si="2"/>
        <v>5.2870250496000031</v>
      </c>
      <c r="K17" s="6"/>
      <c r="L17" s="110">
        <f t="shared" si="0"/>
        <v>3.7271440362841246</v>
      </c>
      <c r="M17" s="7"/>
      <c r="N17" s="6"/>
      <c r="O17" s="110">
        <f t="shared" si="1"/>
        <v>6.6747473120628626</v>
      </c>
      <c r="P17" s="7"/>
    </row>
    <row r="18" spans="2:16" x14ac:dyDescent="0.2">
      <c r="B18" s="11"/>
      <c r="C18" s="12"/>
      <c r="D18" s="14"/>
      <c r="E18" s="6"/>
      <c r="F18" s="6"/>
      <c r="G18" s="7"/>
      <c r="H18" s="6"/>
      <c r="I18" s="5">
        <v>7</v>
      </c>
      <c r="J18" s="110">
        <f t="shared" si="2"/>
        <v>5.9214680555520038</v>
      </c>
      <c r="K18" s="6"/>
      <c r="L18" s="110">
        <f t="shared" si="0"/>
        <v>3.9381144534322821</v>
      </c>
      <c r="M18" s="7"/>
      <c r="N18" s="6"/>
      <c r="O18" s="110">
        <f t="shared" si="1"/>
        <v>7.0525631976513274</v>
      </c>
      <c r="P18" s="7"/>
    </row>
    <row r="19" spans="2:16" x14ac:dyDescent="0.2">
      <c r="B19" s="11" t="s">
        <v>5</v>
      </c>
      <c r="C19" s="12">
        <v>109</v>
      </c>
      <c r="D19" s="13">
        <f>SUM(D16:D17)</f>
        <v>351.55577357079068</v>
      </c>
      <c r="E19" s="6" t="s">
        <v>70</v>
      </c>
      <c r="F19" s="6"/>
      <c r="G19" s="7"/>
      <c r="H19" s="6"/>
      <c r="I19" s="5">
        <v>8</v>
      </c>
      <c r="J19" s="110">
        <f t="shared" si="2"/>
        <v>6.6320442222182452</v>
      </c>
      <c r="K19" s="6"/>
      <c r="L19" s="110">
        <f t="shared" si="0"/>
        <v>4.1610265923058085</v>
      </c>
      <c r="M19" s="7"/>
      <c r="N19" s="6"/>
      <c r="O19" s="110">
        <f t="shared" si="1"/>
        <v>7.4517648880844209</v>
      </c>
      <c r="P19" s="7"/>
    </row>
    <row r="20" spans="2:16" ht="12" thickBot="1" x14ac:dyDescent="0.25">
      <c r="B20" s="17"/>
      <c r="C20" s="18"/>
      <c r="D20" s="19"/>
      <c r="E20" s="6"/>
      <c r="F20" s="6"/>
      <c r="G20" s="7"/>
      <c r="H20" s="6"/>
      <c r="I20" s="5">
        <v>9</v>
      </c>
      <c r="J20" s="110">
        <f t="shared" si="2"/>
        <v>7.4278895288844353</v>
      </c>
      <c r="K20" s="6"/>
      <c r="L20" s="110">
        <f t="shared" si="0"/>
        <v>4.3965563994174586</v>
      </c>
      <c r="M20" s="7"/>
      <c r="N20" s="6"/>
      <c r="O20" s="110">
        <f t="shared" si="1"/>
        <v>7.8735629006175021</v>
      </c>
      <c r="P20" s="7"/>
    </row>
    <row r="21" spans="2:16" ht="12" thickTop="1" x14ac:dyDescent="0.2">
      <c r="B21" s="5"/>
      <c r="C21" s="6"/>
      <c r="D21" s="6"/>
      <c r="E21" s="6"/>
      <c r="F21" s="6"/>
      <c r="G21" s="7"/>
      <c r="H21" s="6"/>
      <c r="I21" s="5">
        <v>10</v>
      </c>
      <c r="J21" s="110">
        <f t="shared" si="2"/>
        <v>8.3192362723505688</v>
      </c>
      <c r="K21" s="6"/>
      <c r="L21" s="110">
        <f t="shared" si="0"/>
        <v>4.6454180824033529</v>
      </c>
      <c r="M21" s="7"/>
      <c r="N21" s="6"/>
      <c r="O21" s="110">
        <f t="shared" si="1"/>
        <v>8.3192362723505688</v>
      </c>
      <c r="P21" s="7"/>
    </row>
    <row r="22" spans="2:16" x14ac:dyDescent="0.2">
      <c r="B22" s="5" t="s">
        <v>83</v>
      </c>
      <c r="C22" s="6"/>
      <c r="D22" s="6"/>
      <c r="E22" s="6"/>
      <c r="F22" s="6"/>
      <c r="G22" s="7"/>
      <c r="H22" s="6"/>
      <c r="I22" s="5"/>
      <c r="J22" s="6"/>
      <c r="L22" s="110"/>
      <c r="M22" s="7"/>
      <c r="N22" s="6"/>
      <c r="O22" s="110"/>
      <c r="P22" s="7"/>
    </row>
    <row r="23" spans="2:16" x14ac:dyDescent="0.2">
      <c r="B23" s="5"/>
      <c r="C23" s="6"/>
      <c r="D23" s="6"/>
      <c r="E23" s="6"/>
      <c r="F23" s="6"/>
      <c r="G23" s="7"/>
      <c r="H23" s="6"/>
      <c r="I23" s="5"/>
      <c r="J23" s="110">
        <f>SUM(J12:J21)</f>
        <v>52.646205208605267</v>
      </c>
      <c r="K23" s="67"/>
      <c r="L23" s="110">
        <f>SUM(L12:L21)</f>
        <v>36.714470871529215</v>
      </c>
      <c r="M23" s="7"/>
      <c r="N23" s="67" t="s">
        <v>92</v>
      </c>
      <c r="O23" s="110">
        <f>SUM(O12:O21)</f>
        <v>65.750025590067835</v>
      </c>
      <c r="P23" s="7"/>
    </row>
    <row r="24" spans="2:16" ht="12" thickBot="1" x14ac:dyDescent="0.25">
      <c r="B24" s="10"/>
      <c r="C24" s="15"/>
      <c r="D24" s="15"/>
      <c r="E24" s="15"/>
      <c r="F24" s="15"/>
      <c r="G24" s="16"/>
      <c r="H24" s="6"/>
      <c r="I24" s="5"/>
      <c r="J24" s="6"/>
      <c r="M24" s="7"/>
      <c r="N24" s="67" t="s">
        <v>93</v>
      </c>
      <c r="O24" s="110">
        <f>O23/(1+O10)^10</f>
        <v>36.714470871529223</v>
      </c>
      <c r="P24" s="7"/>
    </row>
    <row r="25" spans="2:16" ht="12" thickTop="1" x14ac:dyDescent="0.2">
      <c r="B25" s="2"/>
      <c r="C25" s="3"/>
      <c r="D25" s="3"/>
      <c r="E25" s="3"/>
      <c r="F25" s="3"/>
      <c r="G25" s="4"/>
      <c r="H25" s="6"/>
      <c r="I25" s="5"/>
      <c r="J25" s="6" t="s">
        <v>88</v>
      </c>
      <c r="K25" s="6"/>
      <c r="L25" s="6"/>
      <c r="M25" s="7"/>
      <c r="N25" s="6"/>
      <c r="O25" s="6"/>
      <c r="P25" s="7"/>
    </row>
    <row r="26" spans="2:16" x14ac:dyDescent="0.2">
      <c r="B26" s="65" t="s">
        <v>89</v>
      </c>
      <c r="C26" s="120">
        <f>243/(109+53)</f>
        <v>1.5</v>
      </c>
      <c r="D26" s="6"/>
      <c r="E26" s="6"/>
      <c r="F26" s="6"/>
      <c r="G26" s="7"/>
      <c r="H26" s="6"/>
      <c r="I26" s="5"/>
      <c r="J26" s="6"/>
      <c r="K26" s="6"/>
      <c r="L26" s="6"/>
      <c r="M26" s="7"/>
      <c r="N26" s="6"/>
      <c r="O26" s="6"/>
      <c r="P26" s="7"/>
    </row>
    <row r="27" spans="2:16" ht="12" thickBot="1" x14ac:dyDescent="0.25">
      <c r="B27" s="10"/>
      <c r="C27" s="15"/>
      <c r="D27" s="15"/>
      <c r="E27" s="15"/>
      <c r="F27" s="15"/>
      <c r="G27" s="16"/>
      <c r="H27" s="6"/>
      <c r="I27" s="5" t="s">
        <v>54</v>
      </c>
      <c r="J27" s="111">
        <f>C19+L23</f>
        <v>145.71447087152922</v>
      </c>
      <c r="K27" s="112" t="s">
        <v>117</v>
      </c>
      <c r="L27" s="6"/>
      <c r="M27" s="113"/>
      <c r="N27" s="6"/>
      <c r="O27" s="6"/>
      <c r="P27" s="7"/>
    </row>
    <row r="28" spans="2:16" ht="12" thickTop="1" x14ac:dyDescent="0.2">
      <c r="H28" s="6"/>
      <c r="I28" s="5" t="s">
        <v>118</v>
      </c>
      <c r="J28" s="110">
        <f>405/(1+6%)^10</f>
        <v>226.14988465062274</v>
      </c>
      <c r="K28" s="6" t="s">
        <v>119</v>
      </c>
      <c r="L28" s="112"/>
      <c r="M28" s="113"/>
      <c r="N28" s="6"/>
      <c r="O28" s="6"/>
      <c r="P28" s="7"/>
    </row>
    <row r="29" spans="2:16" ht="12" thickBot="1" x14ac:dyDescent="0.25">
      <c r="B29" s="1" t="s">
        <v>132</v>
      </c>
      <c r="H29" s="6"/>
      <c r="I29" s="5" t="s">
        <v>98</v>
      </c>
      <c r="J29" s="111">
        <f>J28-J27</f>
        <v>80.435413779093523</v>
      </c>
      <c r="K29" s="6"/>
      <c r="L29" s="6"/>
      <c r="M29" s="7"/>
      <c r="N29" s="6"/>
      <c r="O29" s="6"/>
      <c r="P29" s="7"/>
    </row>
    <row r="30" spans="2:16" ht="12" thickTop="1" x14ac:dyDescent="0.2">
      <c r="B30" s="64" t="s">
        <v>44</v>
      </c>
      <c r="C30" s="3" t="s">
        <v>69</v>
      </c>
      <c r="D30" s="4"/>
      <c r="H30" s="6"/>
      <c r="I30" s="5"/>
      <c r="J30" s="6"/>
      <c r="K30" s="6"/>
      <c r="L30" s="6"/>
      <c r="M30" s="7"/>
      <c r="N30" s="5"/>
      <c r="O30" s="6"/>
      <c r="P30" s="7"/>
    </row>
    <row r="31" spans="2:16" x14ac:dyDescent="0.2">
      <c r="B31" s="5"/>
      <c r="C31" s="6" t="s">
        <v>90</v>
      </c>
      <c r="D31" s="7"/>
      <c r="H31" s="6"/>
      <c r="I31" s="5" t="s">
        <v>80</v>
      </c>
      <c r="J31" s="114">
        <f>J29/J27</f>
        <v>0.55200704019307933</v>
      </c>
      <c r="K31" s="7" t="s">
        <v>130</v>
      </c>
      <c r="L31" s="6"/>
      <c r="M31" s="7"/>
      <c r="N31" s="5"/>
      <c r="O31" s="6"/>
      <c r="P31" s="7"/>
    </row>
    <row r="32" spans="2:16" ht="12" thickBot="1" x14ac:dyDescent="0.25">
      <c r="B32" s="5"/>
      <c r="C32" s="6"/>
      <c r="D32" s="123"/>
      <c r="H32" s="6"/>
      <c r="I32" s="10"/>
      <c r="J32" s="15"/>
      <c r="K32" s="15"/>
      <c r="L32" s="15"/>
      <c r="M32" s="16"/>
      <c r="N32" s="10"/>
      <c r="O32" s="15"/>
      <c r="P32" s="16"/>
    </row>
    <row r="33" spans="2:8" ht="12" thickTop="1" x14ac:dyDescent="0.2">
      <c r="B33" s="5"/>
      <c r="C33" s="66">
        <v>0.12</v>
      </c>
      <c r="D33" s="7"/>
      <c r="H33" s="6"/>
    </row>
    <row r="34" spans="2:8" x14ac:dyDescent="0.2">
      <c r="B34" s="5"/>
      <c r="C34" s="31" t="s">
        <v>134</v>
      </c>
      <c r="D34" s="7"/>
    </row>
    <row r="35" spans="2:8" x14ac:dyDescent="0.2">
      <c r="B35" s="5">
        <v>1</v>
      </c>
      <c r="C35" s="6">
        <v>3</v>
      </c>
      <c r="D35" s="7"/>
    </row>
    <row r="36" spans="2:8" x14ac:dyDescent="0.2">
      <c r="B36" s="5">
        <v>2</v>
      </c>
      <c r="C36" s="6">
        <f t="shared" ref="C36:C44" si="3">(1+$J$10)*C35</f>
        <v>3.3600000000000003</v>
      </c>
      <c r="D36" s="7"/>
    </row>
    <row r="37" spans="2:8" x14ac:dyDescent="0.2">
      <c r="B37" s="5">
        <v>3</v>
      </c>
      <c r="C37" s="110">
        <f t="shared" si="3"/>
        <v>3.7632000000000008</v>
      </c>
      <c r="D37" s="7"/>
    </row>
    <row r="38" spans="2:8" x14ac:dyDescent="0.2">
      <c r="B38" s="5">
        <v>4</v>
      </c>
      <c r="C38" s="110">
        <f t="shared" si="3"/>
        <v>4.2147840000000016</v>
      </c>
      <c r="D38" s="7"/>
    </row>
    <row r="39" spans="2:8" x14ac:dyDescent="0.2">
      <c r="B39" s="5">
        <v>5</v>
      </c>
      <c r="C39" s="110">
        <f t="shared" si="3"/>
        <v>4.7205580800000027</v>
      </c>
      <c r="D39" s="7"/>
    </row>
    <row r="40" spans="2:8" x14ac:dyDescent="0.2">
      <c r="B40" s="5">
        <v>6</v>
      </c>
      <c r="C40" s="110">
        <f t="shared" si="3"/>
        <v>5.2870250496000031</v>
      </c>
      <c r="D40" s="7"/>
    </row>
    <row r="41" spans="2:8" x14ac:dyDescent="0.2">
      <c r="B41" s="5">
        <v>7</v>
      </c>
      <c r="C41" s="110">
        <f t="shared" si="3"/>
        <v>5.9214680555520038</v>
      </c>
      <c r="D41" s="7"/>
    </row>
    <row r="42" spans="2:8" x14ac:dyDescent="0.2">
      <c r="B42" s="5">
        <v>8</v>
      </c>
      <c r="C42" s="110">
        <f t="shared" si="3"/>
        <v>6.6320442222182452</v>
      </c>
      <c r="D42" s="7"/>
    </row>
    <row r="43" spans="2:8" x14ac:dyDescent="0.2">
      <c r="B43" s="5">
        <v>9</v>
      </c>
      <c r="C43" s="110">
        <f t="shared" si="3"/>
        <v>7.4278895288844353</v>
      </c>
      <c r="D43" s="7"/>
    </row>
    <row r="44" spans="2:8" x14ac:dyDescent="0.2">
      <c r="B44" s="5">
        <v>10</v>
      </c>
      <c r="C44" s="110">
        <f t="shared" si="3"/>
        <v>8.3192362723505688</v>
      </c>
      <c r="D44" s="7"/>
    </row>
    <row r="45" spans="2:8" x14ac:dyDescent="0.2">
      <c r="B45" s="5"/>
      <c r="C45" s="6"/>
      <c r="D45" s="7"/>
    </row>
    <row r="46" spans="2:8" x14ac:dyDescent="0.2">
      <c r="B46" s="5" t="s">
        <v>131</v>
      </c>
      <c r="C46" s="110">
        <f>SUM(C35:C44)</f>
        <v>52.646205208605267</v>
      </c>
      <c r="D46" s="124"/>
    </row>
    <row r="47" spans="2:8" ht="12" thickBot="1" x14ac:dyDescent="0.25">
      <c r="B47" s="10"/>
      <c r="C47" s="15"/>
      <c r="D47" s="16"/>
    </row>
    <row r="48" spans="2:8" ht="12" thickTop="1" x14ac:dyDescent="0.2"/>
  </sheetData>
  <mergeCells count="1">
    <mergeCell ref="C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L23" sqref="L23"/>
    </sheetView>
  </sheetViews>
  <sheetFormatPr defaultRowHeight="11.25" x14ac:dyDescent="0.2"/>
  <cols>
    <col min="1" max="1" width="9.140625" style="1"/>
    <col min="2" max="2" width="19.28515625" style="1" customWidth="1"/>
    <col min="3" max="6" width="9.140625" style="1"/>
    <col min="7" max="7" width="4.42578125" style="1" customWidth="1"/>
    <col min="8" max="8" width="9.140625" style="1"/>
    <col min="9" max="9" width="3.5703125" style="1" customWidth="1"/>
    <col min="10" max="11" width="9.140625" style="1"/>
    <col min="12" max="12" width="35.42578125" style="1" customWidth="1"/>
    <col min="13" max="16384" width="9.140625" style="1"/>
  </cols>
  <sheetData>
    <row r="1" spans="2:13" ht="12" thickBot="1" x14ac:dyDescent="0.25"/>
    <row r="2" spans="2:13" ht="12" thickTop="1" x14ac:dyDescent="0.2">
      <c r="B2" s="117" t="s">
        <v>18</v>
      </c>
      <c r="C2" s="3"/>
      <c r="D2" s="3"/>
      <c r="E2" s="3"/>
      <c r="F2" s="3"/>
      <c r="G2" s="4"/>
      <c r="I2" s="2"/>
      <c r="J2" s="122" t="s">
        <v>120</v>
      </c>
      <c r="K2" s="3"/>
      <c r="L2" s="3"/>
      <c r="M2" s="4"/>
    </row>
    <row r="3" spans="2:13" x14ac:dyDescent="0.2">
      <c r="B3" s="5"/>
      <c r="C3" s="6"/>
      <c r="D3" s="6"/>
      <c r="E3" s="6"/>
      <c r="F3" s="6"/>
      <c r="G3" s="7"/>
      <c r="I3" s="5"/>
      <c r="M3" s="7"/>
    </row>
    <row r="4" spans="2:13" x14ac:dyDescent="0.2">
      <c r="B4" s="5" t="s">
        <v>20</v>
      </c>
      <c r="C4" s="6"/>
      <c r="D4" s="6"/>
      <c r="E4" s="6"/>
      <c r="F4" s="6"/>
      <c r="G4" s="7"/>
      <c r="I4" s="5"/>
      <c r="J4" s="6" t="s">
        <v>108</v>
      </c>
      <c r="L4" s="6"/>
      <c r="M4" s="7"/>
    </row>
    <row r="5" spans="2:13" ht="12" thickBot="1" x14ac:dyDescent="0.25">
      <c r="B5" s="5" t="s">
        <v>27</v>
      </c>
      <c r="C5" s="6"/>
      <c r="D5" s="6"/>
      <c r="E5" s="6"/>
      <c r="F5" s="6"/>
      <c r="G5" s="7"/>
      <c r="I5" s="10"/>
      <c r="J5" s="15" t="s">
        <v>109</v>
      </c>
      <c r="K5" s="15"/>
      <c r="L5" s="15"/>
      <c r="M5" s="16"/>
    </row>
    <row r="6" spans="2:13" ht="12" thickTop="1" x14ac:dyDescent="0.2">
      <c r="B6" s="5" t="s">
        <v>26</v>
      </c>
      <c r="C6" s="6"/>
      <c r="D6" s="6"/>
      <c r="E6" s="6"/>
      <c r="F6" s="6"/>
      <c r="G6" s="7"/>
      <c r="I6" s="64"/>
      <c r="J6" s="3"/>
      <c r="K6" s="3"/>
      <c r="L6" s="3"/>
      <c r="M6" s="4"/>
    </row>
    <row r="7" spans="2:13" x14ac:dyDescent="0.2">
      <c r="B7" s="5"/>
      <c r="C7" s="6"/>
      <c r="D7" s="6"/>
      <c r="E7" s="6"/>
      <c r="F7" s="6"/>
      <c r="G7" s="7"/>
      <c r="I7" s="65"/>
      <c r="J7" s="6"/>
      <c r="K7" s="6" t="s">
        <v>111</v>
      </c>
      <c r="L7" s="6"/>
      <c r="M7" s="7"/>
    </row>
    <row r="8" spans="2:13" x14ac:dyDescent="0.2">
      <c r="B8" s="5" t="s">
        <v>30</v>
      </c>
      <c r="C8" s="6"/>
      <c r="D8" s="6"/>
      <c r="E8" s="6"/>
      <c r="F8" s="6"/>
      <c r="G8" s="7"/>
      <c r="I8" s="5"/>
      <c r="J8" s="6"/>
      <c r="K8" s="6"/>
      <c r="L8" s="6"/>
      <c r="M8" s="7"/>
    </row>
    <row r="9" spans="2:13" ht="22.5" x14ac:dyDescent="0.2">
      <c r="B9" s="5" t="s">
        <v>85</v>
      </c>
      <c r="C9" s="6"/>
      <c r="D9" s="6"/>
      <c r="E9" s="6"/>
      <c r="F9" s="6"/>
      <c r="G9" s="7"/>
      <c r="I9" s="5"/>
      <c r="J9" s="106" t="s">
        <v>122</v>
      </c>
      <c r="K9" s="105">
        <f>314/(1+0.06)^10</f>
        <v>175.33595995134701</v>
      </c>
      <c r="L9" s="102" t="s">
        <v>121</v>
      </c>
      <c r="M9" s="7"/>
    </row>
    <row r="10" spans="2:13" x14ac:dyDescent="0.2">
      <c r="B10" s="5"/>
      <c r="C10" s="6"/>
      <c r="D10" s="6"/>
      <c r="E10" s="6"/>
      <c r="F10" s="6"/>
      <c r="G10" s="7"/>
      <c r="I10" s="5"/>
      <c r="J10" s="106"/>
      <c r="K10" s="106"/>
      <c r="L10" s="102"/>
      <c r="M10" s="7"/>
    </row>
    <row r="11" spans="2:13" x14ac:dyDescent="0.2">
      <c r="B11" s="5" t="s">
        <v>86</v>
      </c>
      <c r="C11" s="6"/>
      <c r="D11" s="6"/>
      <c r="E11" s="6"/>
      <c r="F11" s="6"/>
      <c r="G11" s="7"/>
      <c r="I11" s="5"/>
      <c r="J11" s="106" t="s">
        <v>99</v>
      </c>
      <c r="K11" s="105">
        <f>K9-C22</f>
        <v>69.335959951347007</v>
      </c>
      <c r="L11" s="102" t="s">
        <v>106</v>
      </c>
      <c r="M11" s="7"/>
    </row>
    <row r="12" spans="2:13" ht="12" thickBot="1" x14ac:dyDescent="0.25">
      <c r="B12" s="5"/>
      <c r="C12" s="6"/>
      <c r="D12" s="6"/>
      <c r="E12" s="6"/>
      <c r="F12" s="6"/>
      <c r="G12" s="7"/>
      <c r="I12" s="5"/>
      <c r="J12" s="106"/>
      <c r="K12" s="106"/>
      <c r="L12" s="6"/>
      <c r="M12" s="7"/>
    </row>
    <row r="13" spans="2:13" ht="12" thickTop="1" x14ac:dyDescent="0.2">
      <c r="B13" s="2"/>
      <c r="C13" s="8">
        <v>2013</v>
      </c>
      <c r="D13" s="9">
        <v>2023</v>
      </c>
      <c r="E13" s="6"/>
      <c r="F13" s="6"/>
      <c r="G13" s="7"/>
      <c r="I13" s="5"/>
      <c r="J13" s="106" t="s">
        <v>80</v>
      </c>
      <c r="K13" s="108">
        <f>K11/C22</f>
        <v>0.65411282972968876</v>
      </c>
      <c r="L13" s="7" t="s">
        <v>130</v>
      </c>
      <c r="M13" s="7"/>
    </row>
    <row r="14" spans="2:13" ht="12" thickBot="1" x14ac:dyDescent="0.25">
      <c r="B14" s="10"/>
      <c r="C14" s="125" t="s">
        <v>2</v>
      </c>
      <c r="D14" s="126"/>
      <c r="E14" s="6"/>
      <c r="F14" s="6"/>
      <c r="G14" s="7"/>
      <c r="I14" s="5"/>
      <c r="J14" s="6"/>
      <c r="K14" s="6"/>
      <c r="L14" s="6"/>
      <c r="M14" s="7"/>
    </row>
    <row r="15" spans="2:13" ht="12.75" thickTop="1" thickBot="1" x14ac:dyDescent="0.25">
      <c r="B15" s="11" t="s">
        <v>0</v>
      </c>
      <c r="C15" s="12">
        <v>50</v>
      </c>
      <c r="D15" s="7"/>
      <c r="E15" s="6"/>
      <c r="F15" s="6"/>
      <c r="G15" s="7"/>
      <c r="I15" s="10"/>
      <c r="J15" s="15"/>
      <c r="K15" s="15"/>
      <c r="L15" s="15"/>
      <c r="M15" s="16"/>
    </row>
    <row r="16" spans="2:13" ht="12" thickTop="1" x14ac:dyDescent="0.2">
      <c r="B16" s="11" t="s">
        <v>1</v>
      </c>
      <c r="C16" s="12">
        <v>3</v>
      </c>
      <c r="D16" s="7"/>
      <c r="E16" s="6"/>
      <c r="F16" s="6"/>
      <c r="G16" s="7"/>
    </row>
    <row r="17" spans="2:7" x14ac:dyDescent="0.2">
      <c r="B17" s="11"/>
      <c r="C17" s="6"/>
      <c r="D17" s="7"/>
      <c r="E17" s="6"/>
      <c r="F17" s="6"/>
      <c r="G17" s="7"/>
    </row>
    <row r="18" spans="2:7" x14ac:dyDescent="0.2">
      <c r="B18" s="11" t="s">
        <v>29</v>
      </c>
      <c r="C18" s="22">
        <v>17.5</v>
      </c>
      <c r="D18" s="13">
        <f>C18*(1.15)^(D13-C13)</f>
        <v>70.797260374888367</v>
      </c>
      <c r="E18" s="6" t="s">
        <v>40</v>
      </c>
      <c r="F18" s="6"/>
      <c r="G18" s="7"/>
    </row>
    <row r="19" spans="2:7" x14ac:dyDescent="0.2">
      <c r="B19" s="11" t="s">
        <v>8</v>
      </c>
      <c r="C19" s="22">
        <v>32.5</v>
      </c>
      <c r="D19" s="13">
        <f>C19*(0.99)^(D13-C13)</f>
        <v>29.39241743778614</v>
      </c>
      <c r="E19" s="1" t="s">
        <v>33</v>
      </c>
      <c r="F19" s="6"/>
      <c r="G19" s="7"/>
    </row>
    <row r="20" spans="2:7" x14ac:dyDescent="0.2">
      <c r="B20" s="11" t="s">
        <v>28</v>
      </c>
      <c r="C20" s="12">
        <v>53</v>
      </c>
      <c r="D20" s="13">
        <f>C20*(1.15)^(D13-C13)</f>
        <v>214.41455999251906</v>
      </c>
      <c r="E20" s="6" t="s">
        <v>40</v>
      </c>
      <c r="F20" s="6"/>
      <c r="G20" s="7"/>
    </row>
    <row r="21" spans="2:7" x14ac:dyDescent="0.2">
      <c r="B21" s="11"/>
      <c r="C21" s="12"/>
      <c r="D21" s="13"/>
      <c r="E21" s="6"/>
      <c r="F21" s="6"/>
      <c r="G21" s="7"/>
    </row>
    <row r="22" spans="2:7" x14ac:dyDescent="0.2">
      <c r="B22" s="11" t="s">
        <v>5</v>
      </c>
      <c r="C22" s="12">
        <v>106</v>
      </c>
      <c r="D22" s="13">
        <f>SUM(D18:D20)-1</f>
        <v>313.60423780519358</v>
      </c>
      <c r="E22" s="6" t="s">
        <v>84</v>
      </c>
      <c r="F22" s="6"/>
      <c r="G22" s="7"/>
    </row>
    <row r="23" spans="2:7" ht="12" thickBot="1" x14ac:dyDescent="0.25">
      <c r="B23" s="17"/>
      <c r="C23" s="20"/>
      <c r="D23" s="21"/>
      <c r="E23" s="6"/>
      <c r="F23" s="6"/>
      <c r="G23" s="7"/>
    </row>
    <row r="24" spans="2:7" ht="12" thickTop="1" x14ac:dyDescent="0.2">
      <c r="B24" s="5"/>
      <c r="C24" s="6"/>
      <c r="D24" s="6"/>
      <c r="E24" s="6"/>
      <c r="F24" s="6"/>
      <c r="G24" s="7"/>
    </row>
    <row r="25" spans="2:7" x14ac:dyDescent="0.2">
      <c r="B25" s="5" t="s">
        <v>87</v>
      </c>
      <c r="C25" s="6"/>
      <c r="D25" s="6"/>
      <c r="E25" s="6"/>
      <c r="F25" s="6"/>
      <c r="G25" s="7"/>
    </row>
    <row r="26" spans="2:7" x14ac:dyDescent="0.2">
      <c r="B26" s="5"/>
      <c r="C26" s="6"/>
      <c r="D26" s="6"/>
      <c r="E26" s="6"/>
      <c r="F26" s="6"/>
      <c r="G26" s="7"/>
    </row>
    <row r="27" spans="2:7" ht="12" thickBot="1" x14ac:dyDescent="0.25">
      <c r="B27" s="10"/>
      <c r="C27" s="15"/>
      <c r="D27" s="15"/>
      <c r="E27" s="15"/>
      <c r="F27" s="15"/>
      <c r="G27" s="16"/>
    </row>
    <row r="28" spans="2:7" ht="12" thickTop="1" x14ac:dyDescent="0.2">
      <c r="B28" s="2"/>
      <c r="C28" s="3"/>
      <c r="D28" s="3"/>
      <c r="E28" s="3"/>
      <c r="F28" s="3"/>
      <c r="G28" s="4"/>
    </row>
    <row r="29" spans="2:7" x14ac:dyDescent="0.2">
      <c r="B29" s="65" t="s">
        <v>89</v>
      </c>
      <c r="C29" s="120">
        <f>208/106</f>
        <v>1.9622641509433962</v>
      </c>
      <c r="D29" s="6"/>
      <c r="E29" s="6"/>
      <c r="F29" s="6"/>
      <c r="G29" s="7"/>
    </row>
    <row r="30" spans="2:7" ht="12" thickBot="1" x14ac:dyDescent="0.25">
      <c r="B30" s="10"/>
      <c r="C30" s="15"/>
      <c r="D30" s="15"/>
      <c r="E30" s="15"/>
      <c r="F30" s="15"/>
      <c r="G30" s="16"/>
    </row>
    <row r="31" spans="2:7" ht="12" thickTop="1" x14ac:dyDescent="0.2"/>
  </sheetData>
  <mergeCells count="1">
    <mergeCell ref="C14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L24" sqref="L24"/>
    </sheetView>
  </sheetViews>
  <sheetFormatPr defaultRowHeight="11.25" x14ac:dyDescent="0.2"/>
  <cols>
    <col min="1" max="1" width="7.85546875" style="1" customWidth="1"/>
    <col min="2" max="2" width="5.7109375" style="1" bestFit="1" customWidth="1"/>
    <col min="3" max="3" width="18.7109375" style="71" customWidth="1"/>
    <col min="4" max="4" width="1.85546875" style="1" customWidth="1"/>
    <col min="5" max="5" width="5.28515625" style="1" bestFit="1" customWidth="1"/>
    <col min="6" max="6" width="6.85546875" style="1" customWidth="1"/>
    <col min="7" max="7" width="5.140625" style="1" customWidth="1"/>
    <col min="8" max="8" width="1.42578125" style="1" customWidth="1"/>
    <col min="9" max="9" width="2.140625" style="1" customWidth="1"/>
    <col min="10" max="10" width="6.7109375" style="1" customWidth="1"/>
    <col min="11" max="11" width="8.7109375" style="1" bestFit="1" customWidth="1"/>
    <col min="12" max="12" width="5.5703125" style="1" bestFit="1" customWidth="1"/>
    <col min="13" max="16384" width="9.140625" style="1"/>
  </cols>
  <sheetData>
    <row r="2" spans="2:12" ht="12" thickBot="1" x14ac:dyDescent="0.25"/>
    <row r="3" spans="2:12" ht="12" thickTop="1" x14ac:dyDescent="0.2">
      <c r="B3" s="2"/>
      <c r="C3" s="72"/>
      <c r="D3" s="2"/>
      <c r="E3" s="128" t="s">
        <v>49</v>
      </c>
      <c r="F3" s="128"/>
      <c r="G3" s="128"/>
      <c r="H3" s="9"/>
      <c r="I3" s="3"/>
      <c r="J3" s="128" t="s">
        <v>50</v>
      </c>
      <c r="K3" s="128"/>
      <c r="L3" s="129"/>
    </row>
    <row r="4" spans="2:12" x14ac:dyDescent="0.2">
      <c r="B4" s="5"/>
      <c r="C4" s="73"/>
      <c r="D4" s="5"/>
      <c r="E4" s="127" t="s">
        <v>100</v>
      </c>
      <c r="F4" s="127"/>
      <c r="G4" s="127"/>
      <c r="H4" s="7"/>
      <c r="I4" s="6"/>
      <c r="J4" s="127" t="s">
        <v>53</v>
      </c>
      <c r="K4" s="127"/>
      <c r="L4" s="130"/>
    </row>
    <row r="5" spans="2:12" x14ac:dyDescent="0.2">
      <c r="B5" s="5"/>
      <c r="C5" s="73" t="s">
        <v>59</v>
      </c>
      <c r="D5" s="5"/>
      <c r="E5" s="127" t="s">
        <v>2</v>
      </c>
      <c r="F5" s="127"/>
      <c r="G5" s="51"/>
      <c r="H5" s="52"/>
      <c r="I5" s="51"/>
      <c r="J5" s="68" t="s">
        <v>101</v>
      </c>
      <c r="K5" s="68"/>
      <c r="L5" s="69"/>
    </row>
    <row r="6" spans="2:12" ht="12" thickBot="1" x14ac:dyDescent="0.25">
      <c r="B6" s="10"/>
      <c r="C6" s="74"/>
      <c r="D6" s="10"/>
      <c r="E6" s="31" t="s">
        <v>38</v>
      </c>
      <c r="F6" s="31" t="s">
        <v>54</v>
      </c>
      <c r="G6" s="31" t="s">
        <v>51</v>
      </c>
      <c r="H6" s="32"/>
      <c r="I6" s="31"/>
      <c r="J6" s="31" t="s">
        <v>52</v>
      </c>
      <c r="K6" s="31" t="s">
        <v>54</v>
      </c>
      <c r="L6" s="32" t="s">
        <v>51</v>
      </c>
    </row>
    <row r="7" spans="2:12" ht="12.75" thickTop="1" thickBot="1" x14ac:dyDescent="0.25">
      <c r="B7" s="5"/>
      <c r="C7" s="73"/>
      <c r="D7" s="5"/>
      <c r="E7" s="3"/>
      <c r="F7" s="3"/>
      <c r="G7" s="3"/>
      <c r="H7" s="4"/>
      <c r="I7" s="3"/>
      <c r="J7" s="3"/>
      <c r="K7" s="3"/>
      <c r="L7" s="4"/>
    </row>
    <row r="8" spans="2:12" ht="23.25" thickTop="1" x14ac:dyDescent="0.2">
      <c r="B8" s="77" t="s">
        <v>55</v>
      </c>
      <c r="C8" s="75" t="s">
        <v>103</v>
      </c>
      <c r="D8" s="33"/>
      <c r="E8" s="80">
        <f>94.4</f>
        <v>94.4</v>
      </c>
      <c r="F8" s="80">
        <v>106</v>
      </c>
      <c r="G8" s="81">
        <f>E8/F8</f>
        <v>0.89056603773584908</v>
      </c>
      <c r="H8" s="82"/>
      <c r="I8" s="83"/>
      <c r="J8" s="84">
        <f>'Case I Apt '!J9</f>
        <v>5.8907855828118301</v>
      </c>
      <c r="K8" s="80">
        <v>106</v>
      </c>
      <c r="L8" s="85">
        <f>'Case I Apt '!J11</f>
        <v>5.5573448894451226E-2</v>
      </c>
    </row>
    <row r="9" spans="2:12" x14ac:dyDescent="0.2">
      <c r="B9" s="78"/>
      <c r="C9" s="73"/>
      <c r="D9" s="5"/>
      <c r="E9" s="86"/>
      <c r="F9" s="86"/>
      <c r="G9" s="87"/>
      <c r="H9" s="88"/>
      <c r="I9" s="87"/>
      <c r="J9" s="89"/>
      <c r="K9" s="86"/>
      <c r="L9" s="90"/>
    </row>
    <row r="10" spans="2:12" ht="22.5" x14ac:dyDescent="0.2">
      <c r="B10" s="79" t="s">
        <v>56</v>
      </c>
      <c r="C10" s="76" t="s">
        <v>104</v>
      </c>
      <c r="D10" s="34"/>
      <c r="E10" s="91">
        <v>243</v>
      </c>
      <c r="F10" s="92">
        <f>109+'Case II Rent &amp; Buy land'!J23</f>
        <v>161.64620520860527</v>
      </c>
      <c r="G10" s="93">
        <f>E10/F10</f>
        <v>1.5032830476063899</v>
      </c>
      <c r="H10" s="94"/>
      <c r="I10" s="95"/>
      <c r="J10" s="96">
        <f>'Case II Rent &amp; Buy land'!J29</f>
        <v>80.435413779093523</v>
      </c>
      <c r="K10" s="97">
        <f>'Case II Rent &amp; Buy land'!J27</f>
        <v>145.71447087152922</v>
      </c>
      <c r="L10" s="98">
        <f>J10/K10</f>
        <v>0.55200704019307933</v>
      </c>
    </row>
    <row r="11" spans="2:12" x14ac:dyDescent="0.2">
      <c r="B11" s="78"/>
      <c r="C11" s="73"/>
      <c r="D11" s="5"/>
      <c r="E11" s="86"/>
      <c r="F11" s="86"/>
      <c r="G11" s="87"/>
      <c r="H11" s="88"/>
      <c r="I11" s="87"/>
      <c r="J11" s="89"/>
      <c r="K11" s="86"/>
      <c r="L11" s="90"/>
    </row>
    <row r="12" spans="2:12" ht="22.5" x14ac:dyDescent="0.2">
      <c r="B12" s="77" t="s">
        <v>57</v>
      </c>
      <c r="C12" s="75" t="s">
        <v>105</v>
      </c>
      <c r="D12" s="33"/>
      <c r="E12" s="115">
        <f>'Case III Buy smaller &amp; alt Inv'!D22-'Case III Buy smaller &amp; alt Inv'!C22</f>
        <v>207.60423780519358</v>
      </c>
      <c r="F12" s="99">
        <v>106</v>
      </c>
      <c r="G12" s="81">
        <f>E12/F12</f>
        <v>1.958530545332015</v>
      </c>
      <c r="H12" s="82"/>
      <c r="I12" s="83"/>
      <c r="J12" s="100">
        <f>'Case III Buy smaller &amp; alt Inv'!K11</f>
        <v>69.335959951347007</v>
      </c>
      <c r="K12" s="99">
        <v>106</v>
      </c>
      <c r="L12" s="85">
        <f>'Case III Buy smaller &amp; alt Inv'!K13</f>
        <v>0.65411282972968876</v>
      </c>
    </row>
    <row r="13" spans="2:12" ht="12" thickBot="1" x14ac:dyDescent="0.25">
      <c r="B13" s="5"/>
      <c r="C13" s="73"/>
      <c r="D13" s="5"/>
      <c r="E13" s="40"/>
      <c r="F13" s="40"/>
      <c r="G13" s="51"/>
      <c r="H13" s="52"/>
      <c r="I13" s="51"/>
      <c r="J13" s="40"/>
      <c r="K13" s="40"/>
      <c r="L13" s="52"/>
    </row>
    <row r="14" spans="2:12" ht="12" thickBot="1" x14ac:dyDescent="0.25">
      <c r="B14" s="10"/>
      <c r="C14" s="74"/>
      <c r="D14" s="10"/>
      <c r="E14" s="15"/>
      <c r="F14" s="15"/>
      <c r="G14" s="15"/>
      <c r="H14" s="16"/>
      <c r="I14" s="15"/>
      <c r="J14" s="15"/>
      <c r="K14" s="15"/>
      <c r="L14" s="16"/>
    </row>
    <row r="15" spans="2:12" ht="12" thickTop="1" x14ac:dyDescent="0.2"/>
    <row r="17" spans="2:12" x14ac:dyDescent="0.2">
      <c r="B17" s="34" t="s">
        <v>58</v>
      </c>
      <c r="C17" s="76" t="s">
        <v>138</v>
      </c>
      <c r="D17" s="34"/>
      <c r="E17" s="35">
        <f>'Mortgage vs Other -Time Value'!B32</f>
        <v>219.78972337616278</v>
      </c>
      <c r="F17" s="55">
        <f>'Mortgage vs Other -Time Value'!C25</f>
        <v>140</v>
      </c>
      <c r="G17" s="39">
        <f>E17/F17</f>
        <v>1.5699265955440198</v>
      </c>
      <c r="H17" s="38"/>
      <c r="I17" s="36"/>
      <c r="J17" s="37">
        <f>'Mortgage vs Other -Time Value'!D32</f>
        <v>92.583657704008061</v>
      </c>
      <c r="K17" s="70">
        <f>'Mortgage vs Other -Time Value'!D25</f>
        <v>108.32104461697634</v>
      </c>
      <c r="L17" s="38">
        <f>J17/K17</f>
        <v>0.85471533284584045</v>
      </c>
    </row>
    <row r="19" spans="2:12" x14ac:dyDescent="0.2">
      <c r="B19" s="1" t="s">
        <v>137</v>
      </c>
    </row>
  </sheetData>
  <mergeCells count="5">
    <mergeCell ref="E5:F5"/>
    <mergeCell ref="E3:G3"/>
    <mergeCell ref="J3:L3"/>
    <mergeCell ref="J4:L4"/>
    <mergeCell ref="E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K15" sqref="K15"/>
    </sheetView>
  </sheetViews>
  <sheetFormatPr defaultRowHeight="11.25" x14ac:dyDescent="0.2"/>
  <cols>
    <col min="1" max="1" width="2.28515625" style="1" customWidth="1"/>
    <col min="2" max="2" width="9.140625" style="1"/>
    <col min="3" max="4" width="9.85546875" style="1" customWidth="1"/>
    <col min="5" max="6" width="9.140625" style="1"/>
    <col min="7" max="8" width="11.140625" style="1" customWidth="1"/>
    <col min="9" max="16384" width="9.140625" style="1"/>
  </cols>
  <sheetData>
    <row r="1" spans="1:9" ht="12" thickBot="1" x14ac:dyDescent="0.25"/>
    <row r="2" spans="1:9" ht="12" thickTop="1" x14ac:dyDescent="0.2">
      <c r="B2" s="2"/>
      <c r="C2" s="3" t="s">
        <v>71</v>
      </c>
      <c r="D2" s="3"/>
      <c r="E2" s="3"/>
      <c r="F2" s="3"/>
      <c r="G2" s="3" t="s">
        <v>42</v>
      </c>
      <c r="H2" s="26">
        <v>0.111</v>
      </c>
      <c r="I2" s="4"/>
    </row>
    <row r="3" spans="1:9" x14ac:dyDescent="0.2">
      <c r="A3" s="6"/>
      <c r="B3" s="5"/>
      <c r="C3" s="6"/>
      <c r="D3" s="6"/>
      <c r="E3" s="6"/>
      <c r="F3" s="6"/>
      <c r="G3" s="6"/>
      <c r="H3" s="6"/>
      <c r="I3" s="7"/>
    </row>
    <row r="4" spans="1:9" ht="30.75" customHeight="1" thickBot="1" x14ac:dyDescent="0.25">
      <c r="A4" s="6"/>
      <c r="B4" s="45" t="s">
        <v>44</v>
      </c>
      <c r="C4" s="46" t="s">
        <v>41</v>
      </c>
      <c r="D4" s="46" t="s">
        <v>66</v>
      </c>
      <c r="E4" s="46" t="s">
        <v>63</v>
      </c>
      <c r="F4" s="46" t="s">
        <v>64</v>
      </c>
      <c r="G4" s="46" t="s">
        <v>62</v>
      </c>
      <c r="H4" s="46" t="s">
        <v>67</v>
      </c>
      <c r="I4" s="47" t="s">
        <v>65</v>
      </c>
    </row>
    <row r="5" spans="1:9" ht="12" thickTop="1" x14ac:dyDescent="0.2">
      <c r="A5" s="6"/>
      <c r="B5" s="11">
        <v>1</v>
      </c>
      <c r="C5" s="44">
        <v>86</v>
      </c>
      <c r="D5" s="44">
        <f>C5*11.1%</f>
        <v>9.5459999999999994</v>
      </c>
      <c r="E5" s="44">
        <f t="shared" ref="E5:E19" si="0">C5*$H$2/12</f>
        <v>0.79549999999999998</v>
      </c>
      <c r="F5" s="44">
        <v>1</v>
      </c>
      <c r="G5" s="44">
        <f t="shared" ref="G5:G19" si="1">F5-E5</f>
        <v>0.20450000000000002</v>
      </c>
      <c r="H5" s="44">
        <f>G5*12</f>
        <v>2.4540000000000002</v>
      </c>
      <c r="I5" s="48">
        <f>(F5-E5)*12</f>
        <v>2.4540000000000002</v>
      </c>
    </row>
    <row r="6" spans="1:9" x14ac:dyDescent="0.2">
      <c r="A6" s="6"/>
      <c r="B6" s="11">
        <v>2</v>
      </c>
      <c r="C6" s="44">
        <f>$C$5-I5</f>
        <v>83.546000000000006</v>
      </c>
      <c r="D6" s="44">
        <f t="shared" ref="D6:D19" si="2">C6*11.1%</f>
        <v>9.2736060000000009</v>
      </c>
      <c r="E6" s="44">
        <f t="shared" si="0"/>
        <v>0.77280050000000011</v>
      </c>
      <c r="F6" s="44">
        <v>1</v>
      </c>
      <c r="G6" s="44">
        <f t="shared" si="1"/>
        <v>0.22719949999999989</v>
      </c>
      <c r="H6" s="44">
        <f t="shared" ref="H6:H19" si="3">G6*12</f>
        <v>2.7263939999999987</v>
      </c>
      <c r="I6" s="48">
        <f t="shared" ref="I6:I19" si="4">(F6-E6)*12+I5</f>
        <v>5.1803939999999988</v>
      </c>
    </row>
    <row r="7" spans="1:9" x14ac:dyDescent="0.2">
      <c r="A7" s="6"/>
      <c r="B7" s="11">
        <v>3</v>
      </c>
      <c r="C7" s="44">
        <f t="shared" ref="C7:C19" si="5">$C$5-I6</f>
        <v>80.819606000000007</v>
      </c>
      <c r="D7" s="44">
        <f t="shared" si="2"/>
        <v>8.970976266000001</v>
      </c>
      <c r="E7" s="44">
        <f t="shared" si="0"/>
        <v>0.74758135550000004</v>
      </c>
      <c r="F7" s="44">
        <v>1</v>
      </c>
      <c r="G7" s="44">
        <f t="shared" si="1"/>
        <v>0.25241864449999996</v>
      </c>
      <c r="H7" s="44">
        <f t="shared" si="3"/>
        <v>3.0290237339999995</v>
      </c>
      <c r="I7" s="48">
        <f t="shared" si="4"/>
        <v>8.2094177339999987</v>
      </c>
    </row>
    <row r="8" spans="1:9" x14ac:dyDescent="0.2">
      <c r="A8" s="6"/>
      <c r="B8" s="11">
        <v>4</v>
      </c>
      <c r="C8" s="44">
        <f t="shared" si="5"/>
        <v>77.790582266000001</v>
      </c>
      <c r="D8" s="44">
        <f t="shared" si="2"/>
        <v>8.6347546315260004</v>
      </c>
      <c r="E8" s="44">
        <f t="shared" si="0"/>
        <v>0.7195628859605</v>
      </c>
      <c r="F8" s="44">
        <v>1</v>
      </c>
      <c r="G8" s="44">
        <f t="shared" si="1"/>
        <v>0.2804371140395</v>
      </c>
      <c r="H8" s="44">
        <f t="shared" si="3"/>
        <v>3.365245368474</v>
      </c>
      <c r="I8" s="48">
        <f t="shared" si="4"/>
        <v>11.574663102473998</v>
      </c>
    </row>
    <row r="9" spans="1:9" x14ac:dyDescent="0.2">
      <c r="A9" s="6"/>
      <c r="B9" s="11">
        <v>5</v>
      </c>
      <c r="C9" s="44">
        <f t="shared" si="5"/>
        <v>74.425336897525995</v>
      </c>
      <c r="D9" s="44">
        <f t="shared" si="2"/>
        <v>8.2612123956253853</v>
      </c>
      <c r="E9" s="44">
        <f t="shared" si="0"/>
        <v>0.68843436630211541</v>
      </c>
      <c r="F9" s="44">
        <v>1</v>
      </c>
      <c r="G9" s="44">
        <f t="shared" si="1"/>
        <v>0.31156563369788459</v>
      </c>
      <c r="H9" s="44">
        <f t="shared" si="3"/>
        <v>3.7387876043746151</v>
      </c>
      <c r="I9" s="48">
        <f t="shared" si="4"/>
        <v>15.313450706848613</v>
      </c>
    </row>
    <row r="10" spans="1:9" x14ac:dyDescent="0.2">
      <c r="A10" s="6"/>
      <c r="B10" s="11">
        <v>6</v>
      </c>
      <c r="C10" s="44">
        <f t="shared" si="5"/>
        <v>70.686549293151387</v>
      </c>
      <c r="D10" s="44">
        <f t="shared" si="2"/>
        <v>7.8462069715398037</v>
      </c>
      <c r="E10" s="44">
        <f t="shared" si="0"/>
        <v>0.65385058096165027</v>
      </c>
      <c r="F10" s="44">
        <v>1</v>
      </c>
      <c r="G10" s="44">
        <f t="shared" si="1"/>
        <v>0.34614941903834973</v>
      </c>
      <c r="H10" s="44">
        <f t="shared" si="3"/>
        <v>4.1537930284601963</v>
      </c>
      <c r="I10" s="48">
        <f t="shared" si="4"/>
        <v>19.467243735308809</v>
      </c>
    </row>
    <row r="11" spans="1:9" x14ac:dyDescent="0.2">
      <c r="A11" s="6"/>
      <c r="B11" s="11">
        <v>7</v>
      </c>
      <c r="C11" s="44">
        <f t="shared" si="5"/>
        <v>66.532756264691187</v>
      </c>
      <c r="D11" s="44">
        <f t="shared" si="2"/>
        <v>7.3851359453807222</v>
      </c>
      <c r="E11" s="44">
        <f t="shared" si="0"/>
        <v>0.61542799544839355</v>
      </c>
      <c r="F11" s="44">
        <v>1</v>
      </c>
      <c r="G11" s="44">
        <f t="shared" si="1"/>
        <v>0.38457200455160645</v>
      </c>
      <c r="H11" s="44">
        <f t="shared" si="3"/>
        <v>4.614864054619277</v>
      </c>
      <c r="I11" s="48">
        <f t="shared" si="4"/>
        <v>24.082107789928088</v>
      </c>
    </row>
    <row r="12" spans="1:9" x14ac:dyDescent="0.2">
      <c r="A12" s="6"/>
      <c r="B12" s="11">
        <v>8</v>
      </c>
      <c r="C12" s="44">
        <f t="shared" si="5"/>
        <v>61.917892210071912</v>
      </c>
      <c r="D12" s="44">
        <f t="shared" si="2"/>
        <v>6.8728860353179826</v>
      </c>
      <c r="E12" s="44">
        <f t="shared" si="0"/>
        <v>0.57274050294316525</v>
      </c>
      <c r="F12" s="44">
        <v>1</v>
      </c>
      <c r="G12" s="44">
        <f t="shared" si="1"/>
        <v>0.42725949705683475</v>
      </c>
      <c r="H12" s="44">
        <f t="shared" si="3"/>
        <v>5.1271139646820174</v>
      </c>
      <c r="I12" s="48">
        <f t="shared" si="4"/>
        <v>29.209221754610105</v>
      </c>
    </row>
    <row r="13" spans="1:9" x14ac:dyDescent="0.2">
      <c r="A13" s="6"/>
      <c r="B13" s="11">
        <v>9</v>
      </c>
      <c r="C13" s="44">
        <f t="shared" si="5"/>
        <v>56.790778245389895</v>
      </c>
      <c r="D13" s="44">
        <f t="shared" si="2"/>
        <v>6.3037763852382787</v>
      </c>
      <c r="E13" s="44">
        <f t="shared" si="0"/>
        <v>0.52531469876985659</v>
      </c>
      <c r="F13" s="44">
        <v>1</v>
      </c>
      <c r="G13" s="44">
        <f t="shared" si="1"/>
        <v>0.47468530123014341</v>
      </c>
      <c r="H13" s="44">
        <f t="shared" si="3"/>
        <v>5.6962236147617205</v>
      </c>
      <c r="I13" s="48">
        <f t="shared" si="4"/>
        <v>34.905445369371826</v>
      </c>
    </row>
    <row r="14" spans="1:9" x14ac:dyDescent="0.2">
      <c r="A14" s="6"/>
      <c r="B14" s="11">
        <v>10</v>
      </c>
      <c r="C14" s="44">
        <f t="shared" si="5"/>
        <v>51.094554630628174</v>
      </c>
      <c r="D14" s="44">
        <f t="shared" si="2"/>
        <v>5.6714955639997271</v>
      </c>
      <c r="E14" s="44">
        <f t="shared" si="0"/>
        <v>0.47262463033331059</v>
      </c>
      <c r="F14" s="44">
        <v>1</v>
      </c>
      <c r="G14" s="44">
        <f t="shared" si="1"/>
        <v>0.52737536966668941</v>
      </c>
      <c r="H14" s="44">
        <f t="shared" si="3"/>
        <v>6.3285044360002729</v>
      </c>
      <c r="I14" s="48">
        <f t="shared" si="4"/>
        <v>41.233949805372099</v>
      </c>
    </row>
    <row r="15" spans="1:9" x14ac:dyDescent="0.2">
      <c r="A15" s="6"/>
      <c r="B15" s="11">
        <v>11</v>
      </c>
      <c r="C15" s="44">
        <f t="shared" si="5"/>
        <v>44.766050194627901</v>
      </c>
      <c r="D15" s="44">
        <f t="shared" si="2"/>
        <v>4.969031571603697</v>
      </c>
      <c r="E15" s="44">
        <f t="shared" si="0"/>
        <v>0.41408596430030808</v>
      </c>
      <c r="F15" s="44">
        <v>1</v>
      </c>
      <c r="G15" s="44">
        <f t="shared" si="1"/>
        <v>0.58591403569969192</v>
      </c>
      <c r="H15" s="44">
        <f t="shared" si="3"/>
        <v>7.030968428396303</v>
      </c>
      <c r="I15" s="48">
        <f t="shared" si="4"/>
        <v>48.264918233768398</v>
      </c>
    </row>
    <row r="16" spans="1:9" x14ac:dyDescent="0.2">
      <c r="A16" s="6"/>
      <c r="B16" s="11">
        <v>12</v>
      </c>
      <c r="C16" s="44">
        <f t="shared" si="5"/>
        <v>37.735081766231602</v>
      </c>
      <c r="D16" s="44">
        <f t="shared" si="2"/>
        <v>4.1885940760517082</v>
      </c>
      <c r="E16" s="44">
        <f t="shared" si="0"/>
        <v>0.34904950633764237</v>
      </c>
      <c r="F16" s="44">
        <v>1</v>
      </c>
      <c r="G16" s="44">
        <f t="shared" si="1"/>
        <v>0.65095049366235758</v>
      </c>
      <c r="H16" s="44">
        <f t="shared" si="3"/>
        <v>7.8114059239482909</v>
      </c>
      <c r="I16" s="48">
        <f t="shared" si="4"/>
        <v>56.076324157716691</v>
      </c>
    </row>
    <row r="17" spans="1:9" x14ac:dyDescent="0.2">
      <c r="A17" s="6"/>
      <c r="B17" s="11">
        <v>13</v>
      </c>
      <c r="C17" s="44">
        <f>$C$5-I16</f>
        <v>29.923675842283309</v>
      </c>
      <c r="D17" s="44">
        <f t="shared" si="2"/>
        <v>3.3215280184934475</v>
      </c>
      <c r="E17" s="44">
        <f t="shared" si="0"/>
        <v>0.2767940015411206</v>
      </c>
      <c r="F17" s="44">
        <v>1</v>
      </c>
      <c r="G17" s="44">
        <f t="shared" si="1"/>
        <v>0.72320599845887945</v>
      </c>
      <c r="H17" s="44">
        <f t="shared" si="3"/>
        <v>8.6784719815065543</v>
      </c>
      <c r="I17" s="48">
        <f t="shared" si="4"/>
        <v>64.754796139223245</v>
      </c>
    </row>
    <row r="18" spans="1:9" x14ac:dyDescent="0.2">
      <c r="A18" s="6"/>
      <c r="B18" s="11">
        <v>14</v>
      </c>
      <c r="C18" s="44">
        <f t="shared" si="5"/>
        <v>21.245203860776755</v>
      </c>
      <c r="D18" s="44">
        <f t="shared" si="2"/>
        <v>2.3582176285462197</v>
      </c>
      <c r="E18" s="44">
        <f t="shared" si="0"/>
        <v>0.19651813571218499</v>
      </c>
      <c r="F18" s="44">
        <v>1</v>
      </c>
      <c r="G18" s="44">
        <f t="shared" si="1"/>
        <v>0.80348186428781498</v>
      </c>
      <c r="H18" s="44">
        <f t="shared" si="3"/>
        <v>9.6417823714537789</v>
      </c>
      <c r="I18" s="48">
        <f t="shared" si="4"/>
        <v>74.396578510677017</v>
      </c>
    </row>
    <row r="19" spans="1:9" x14ac:dyDescent="0.2">
      <c r="A19" s="6"/>
      <c r="B19" s="11">
        <v>15</v>
      </c>
      <c r="C19" s="44">
        <f t="shared" si="5"/>
        <v>11.603421489322983</v>
      </c>
      <c r="D19" s="44">
        <f t="shared" si="2"/>
        <v>1.2879797853148511</v>
      </c>
      <c r="E19" s="44">
        <f t="shared" si="0"/>
        <v>0.10733164877623759</v>
      </c>
      <c r="F19" s="44">
        <v>1</v>
      </c>
      <c r="G19" s="44">
        <f t="shared" si="1"/>
        <v>0.89266835122376242</v>
      </c>
      <c r="H19" s="44">
        <f t="shared" si="3"/>
        <v>10.712020214685149</v>
      </c>
      <c r="I19" s="48">
        <f t="shared" si="4"/>
        <v>85.108598725362171</v>
      </c>
    </row>
    <row r="20" spans="1:9" ht="12" thickBot="1" x14ac:dyDescent="0.25">
      <c r="A20" s="6"/>
      <c r="B20" s="17"/>
      <c r="C20" s="49"/>
      <c r="D20" s="49"/>
      <c r="E20" s="49"/>
      <c r="F20" s="49"/>
      <c r="G20" s="49"/>
      <c r="H20" s="49"/>
      <c r="I20" s="50"/>
    </row>
    <row r="21" spans="1:9" ht="12" thickTop="1" x14ac:dyDescent="0.2">
      <c r="A21" s="6"/>
      <c r="B21" s="12"/>
      <c r="C21" s="27"/>
      <c r="D21" s="27"/>
      <c r="E21" s="27"/>
      <c r="F21" s="12"/>
      <c r="G21" s="27"/>
      <c r="H21" s="27"/>
      <c r="I21" s="27"/>
    </row>
    <row r="22" spans="1:9" x14ac:dyDescent="0.2">
      <c r="A22" s="6"/>
      <c r="B22" s="12"/>
      <c r="C22" s="27"/>
      <c r="D22" s="27"/>
      <c r="E22" s="27"/>
      <c r="F22" s="12"/>
      <c r="G22" s="27"/>
      <c r="H22" s="27"/>
      <c r="I22" s="27"/>
    </row>
    <row r="23" spans="1:9" x14ac:dyDescent="0.2">
      <c r="A23" s="6"/>
      <c r="B23" s="12"/>
      <c r="C23" s="27"/>
      <c r="D23" s="27"/>
      <c r="E23" s="27"/>
      <c r="F23" s="12"/>
      <c r="G23" s="27"/>
      <c r="H23" s="27"/>
      <c r="I23" s="27"/>
    </row>
    <row r="24" spans="1:9" x14ac:dyDescent="0.2">
      <c r="A24" s="6"/>
      <c r="C24" s="25"/>
      <c r="D24" s="25"/>
      <c r="E24" s="24"/>
      <c r="G24" s="24"/>
      <c r="H24" s="24"/>
      <c r="I24" s="24"/>
    </row>
    <row r="25" spans="1:9" x14ac:dyDescent="0.2">
      <c r="A25" s="6"/>
      <c r="C25" s="24"/>
      <c r="D25" s="24"/>
    </row>
    <row r="26" spans="1:9" x14ac:dyDescent="0.2">
      <c r="A26" s="6"/>
      <c r="C26" s="24"/>
      <c r="D26" s="24"/>
    </row>
    <row r="27" spans="1:9" x14ac:dyDescent="0.2">
      <c r="A27" s="6"/>
      <c r="C27" s="24"/>
      <c r="D27" s="24"/>
    </row>
    <row r="28" spans="1:9" x14ac:dyDescent="0.2">
      <c r="A28" s="6"/>
      <c r="C28" s="24"/>
      <c r="D28" s="24"/>
      <c r="E28" s="24"/>
      <c r="G28" s="24"/>
      <c r="H28" s="24"/>
    </row>
    <row r="29" spans="1:9" x14ac:dyDescent="0.2">
      <c r="A29" s="6"/>
      <c r="C29" s="24"/>
      <c r="D29" s="24"/>
    </row>
    <row r="30" spans="1:9" x14ac:dyDescent="0.2">
      <c r="A30" s="6"/>
      <c r="C30" s="24"/>
      <c r="D30" s="24"/>
    </row>
    <row r="31" spans="1:9" x14ac:dyDescent="0.2">
      <c r="A31" s="6"/>
      <c r="C31" s="24"/>
      <c r="D31" s="24"/>
    </row>
    <row r="32" spans="1:9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4" workbookViewId="0">
      <selection activeCell="H33" sqref="H33"/>
    </sheetView>
  </sheetViews>
  <sheetFormatPr defaultRowHeight="11.25" x14ac:dyDescent="0.2"/>
  <cols>
    <col min="1" max="1" width="17.85546875" style="1" customWidth="1"/>
    <col min="2" max="2" width="11.5703125" style="1" customWidth="1"/>
    <col min="3" max="3" width="14.42578125" style="1" customWidth="1"/>
    <col min="4" max="4" width="12.7109375" style="1" customWidth="1"/>
    <col min="5" max="5" width="20.42578125" style="1" customWidth="1"/>
    <col min="6" max="6" width="2.28515625" style="1" customWidth="1"/>
    <col min="7" max="16384" width="9.140625" style="1"/>
  </cols>
  <sheetData>
    <row r="2" spans="1:6" ht="12" thickBot="1" x14ac:dyDescent="0.25"/>
    <row r="3" spans="1:6" ht="12.75" thickTop="1" thickBot="1" x14ac:dyDescent="0.25">
      <c r="A3" s="2" t="s">
        <v>39</v>
      </c>
      <c r="B3" s="3"/>
      <c r="C3" s="3"/>
      <c r="D3" s="3"/>
      <c r="E3" s="4"/>
      <c r="F3" s="6"/>
    </row>
    <row r="4" spans="1:6" ht="12" thickTop="1" x14ac:dyDescent="0.2">
      <c r="A4" s="2"/>
      <c r="B4" s="8"/>
      <c r="C4" s="8"/>
      <c r="D4" s="9"/>
      <c r="E4" s="7"/>
      <c r="F4" s="6"/>
    </row>
    <row r="5" spans="1:6" ht="12" thickBot="1" x14ac:dyDescent="0.25">
      <c r="A5" s="10" t="s">
        <v>72</v>
      </c>
      <c r="B5" s="56"/>
      <c r="C5" s="56"/>
      <c r="D5" s="57"/>
      <c r="E5" s="7"/>
      <c r="F5" s="6"/>
    </row>
    <row r="6" spans="1:6" ht="12" thickTop="1" x14ac:dyDescent="0.2">
      <c r="A6" s="11"/>
      <c r="B6" s="51" t="s">
        <v>0</v>
      </c>
      <c r="C6" s="51" t="s">
        <v>34</v>
      </c>
      <c r="D6" s="52"/>
      <c r="E6" s="7"/>
      <c r="F6" s="6"/>
    </row>
    <row r="7" spans="1:6" x14ac:dyDescent="0.2">
      <c r="A7" s="11">
        <v>2013</v>
      </c>
      <c r="B7" s="51">
        <v>100</v>
      </c>
      <c r="C7" s="51">
        <v>6</v>
      </c>
      <c r="D7" s="52"/>
      <c r="E7" s="7"/>
      <c r="F7" s="6"/>
    </row>
    <row r="8" spans="1:6" x14ac:dyDescent="0.2">
      <c r="A8" s="11"/>
      <c r="B8" s="51"/>
      <c r="C8" s="51"/>
      <c r="D8" s="52"/>
      <c r="E8" s="7"/>
      <c r="F8" s="6"/>
    </row>
    <row r="9" spans="1:6" x14ac:dyDescent="0.2">
      <c r="A9" s="11"/>
      <c r="B9" s="51"/>
      <c r="C9" s="51" t="s">
        <v>35</v>
      </c>
      <c r="D9" s="52" t="s">
        <v>35</v>
      </c>
      <c r="E9" s="7"/>
      <c r="F9" s="6"/>
    </row>
    <row r="10" spans="1:6" ht="12" thickBot="1" x14ac:dyDescent="0.25">
      <c r="A10" s="11"/>
      <c r="B10" s="51"/>
      <c r="C10" s="51">
        <v>20</v>
      </c>
      <c r="D10" s="52">
        <v>20</v>
      </c>
      <c r="E10" s="7"/>
      <c r="F10" s="6"/>
    </row>
    <row r="11" spans="1:6" ht="12" thickBot="1" x14ac:dyDescent="0.25">
      <c r="A11" s="60"/>
      <c r="B11" s="60"/>
      <c r="C11" s="60"/>
      <c r="D11" s="60" t="s">
        <v>75</v>
      </c>
      <c r="E11" s="7"/>
      <c r="F11" s="6"/>
    </row>
    <row r="12" spans="1:6" ht="12" thickBot="1" x14ac:dyDescent="0.25">
      <c r="A12" s="60"/>
      <c r="B12" s="60"/>
      <c r="C12" s="60" t="s">
        <v>36</v>
      </c>
      <c r="D12" s="60" t="s">
        <v>76</v>
      </c>
      <c r="E12" s="63"/>
      <c r="F12" s="6"/>
    </row>
    <row r="13" spans="1:6" ht="12" thickBot="1" x14ac:dyDescent="0.25">
      <c r="A13" s="60">
        <v>2013</v>
      </c>
      <c r="B13" s="60"/>
      <c r="C13" s="60">
        <v>12</v>
      </c>
      <c r="D13" s="61">
        <f>12/(1+6%)</f>
        <v>11.320754716981131</v>
      </c>
      <c r="E13" s="58" t="s">
        <v>48</v>
      </c>
      <c r="F13" s="6"/>
    </row>
    <row r="14" spans="1:6" ht="12" thickBot="1" x14ac:dyDescent="0.25">
      <c r="A14" s="60">
        <v>2014</v>
      </c>
      <c r="B14" s="60"/>
      <c r="C14" s="60">
        <v>12</v>
      </c>
      <c r="D14" s="61">
        <f>12/(1+6%)^2</f>
        <v>10.679957280170878</v>
      </c>
      <c r="E14" s="58" t="s">
        <v>74</v>
      </c>
      <c r="F14" s="6"/>
    </row>
    <row r="15" spans="1:6" ht="12" thickBot="1" x14ac:dyDescent="0.25">
      <c r="A15" s="60">
        <v>2015</v>
      </c>
      <c r="B15" s="60"/>
      <c r="C15" s="60">
        <v>12</v>
      </c>
      <c r="D15" s="61">
        <f>12/(1+6%)^3</f>
        <v>10.07543139638762</v>
      </c>
      <c r="E15" s="58"/>
      <c r="F15" s="6"/>
    </row>
    <row r="16" spans="1:6" ht="12" thickBot="1" x14ac:dyDescent="0.25">
      <c r="A16" s="60">
        <v>2016</v>
      </c>
      <c r="B16" s="60"/>
      <c r="C16" s="62">
        <v>12</v>
      </c>
      <c r="D16" s="61">
        <f>12/(1+6%)^4</f>
        <v>9.5051239588562453</v>
      </c>
      <c r="E16" s="58"/>
      <c r="F16" s="6"/>
    </row>
    <row r="17" spans="1:6" ht="12" thickBot="1" x14ac:dyDescent="0.25">
      <c r="A17" s="60">
        <v>2017</v>
      </c>
      <c r="B17" s="60"/>
      <c r="C17" s="62">
        <v>12</v>
      </c>
      <c r="D17" s="61">
        <f>12/(1+6%)^5</f>
        <v>8.9670980743926822</v>
      </c>
      <c r="E17" s="58"/>
      <c r="F17" s="6"/>
    </row>
    <row r="18" spans="1:6" ht="12" thickBot="1" x14ac:dyDescent="0.25">
      <c r="A18" s="60">
        <v>2018</v>
      </c>
      <c r="B18" s="60"/>
      <c r="C18" s="62">
        <v>12</v>
      </c>
      <c r="D18" s="61">
        <f>12/(1+6%)^6</f>
        <v>8.4595264852761147</v>
      </c>
      <c r="E18" s="58"/>
      <c r="F18" s="6"/>
    </row>
    <row r="19" spans="1:6" ht="12" thickBot="1" x14ac:dyDescent="0.25">
      <c r="A19" s="60">
        <v>2019</v>
      </c>
      <c r="B19" s="60"/>
      <c r="C19" s="62">
        <v>12</v>
      </c>
      <c r="D19" s="61">
        <f>12/(1+6%)^7</f>
        <v>7.9806853634680319</v>
      </c>
      <c r="E19" s="58"/>
      <c r="F19" s="6"/>
    </row>
    <row r="20" spans="1:6" ht="12" thickBot="1" x14ac:dyDescent="0.25">
      <c r="A20" s="60">
        <v>2020</v>
      </c>
      <c r="B20" s="60"/>
      <c r="C20" s="62">
        <v>12</v>
      </c>
      <c r="D20" s="61">
        <f>12/(1+6%)^8</f>
        <v>7.5289484561019178</v>
      </c>
      <c r="E20" s="58"/>
      <c r="F20" s="6"/>
    </row>
    <row r="21" spans="1:6" ht="12" thickBot="1" x14ac:dyDescent="0.25">
      <c r="A21" s="60">
        <v>2021</v>
      </c>
      <c r="B21" s="60"/>
      <c r="C21" s="62">
        <v>12</v>
      </c>
      <c r="D21" s="61">
        <f>12/(1+6%)^9</f>
        <v>7.1027815623602999</v>
      </c>
      <c r="E21" s="58"/>
      <c r="F21" s="6"/>
    </row>
    <row r="22" spans="1:6" ht="12" thickBot="1" x14ac:dyDescent="0.25">
      <c r="A22" s="60">
        <v>2022</v>
      </c>
      <c r="B22" s="60"/>
      <c r="C22" s="62">
        <v>12</v>
      </c>
      <c r="D22" s="61">
        <f>12/(1+6%)^10</f>
        <v>6.7007373229814142</v>
      </c>
      <c r="E22" s="58"/>
      <c r="F22" s="6"/>
    </row>
    <row r="23" spans="1:6" ht="12" thickBot="1" x14ac:dyDescent="0.25">
      <c r="A23" s="60">
        <v>2023</v>
      </c>
      <c r="B23" s="60"/>
      <c r="C23" s="62" t="s">
        <v>61</v>
      </c>
      <c r="D23" s="61"/>
      <c r="E23" s="58"/>
      <c r="F23" s="6"/>
    </row>
    <row r="24" spans="1:6" x14ac:dyDescent="0.2">
      <c r="A24" s="11"/>
      <c r="B24" s="51"/>
      <c r="C24" s="42"/>
      <c r="D24" s="30"/>
      <c r="E24" s="58" t="s">
        <v>73</v>
      </c>
      <c r="F24" s="6"/>
    </row>
    <row r="25" spans="1:6" x14ac:dyDescent="0.2">
      <c r="A25" s="11" t="s">
        <v>47</v>
      </c>
      <c r="B25" s="51"/>
      <c r="C25" s="42">
        <f>12*10+20</f>
        <v>140</v>
      </c>
      <c r="D25" s="30">
        <f>SUM(D13:D22)+D10</f>
        <v>108.32104461697634</v>
      </c>
      <c r="E25" s="58"/>
      <c r="F25" s="6"/>
    </row>
    <row r="26" spans="1:6" x14ac:dyDescent="0.2">
      <c r="A26" s="11"/>
      <c r="B26" s="51"/>
      <c r="C26" s="51"/>
      <c r="D26" s="30"/>
      <c r="E26" s="58"/>
      <c r="F26" s="6"/>
    </row>
    <row r="27" spans="1:6" ht="22.5" x14ac:dyDescent="0.2">
      <c r="A27" s="11" t="s">
        <v>37</v>
      </c>
      <c r="B27" s="41">
        <f>100*1.15^10</f>
        <v>404.55577357079068</v>
      </c>
      <c r="C27" s="6"/>
      <c r="D27" s="30">
        <f>B27/(1+6%)^10</f>
        <v>225.90183093278461</v>
      </c>
      <c r="E27" s="58" t="s">
        <v>46</v>
      </c>
      <c r="F27" s="6"/>
    </row>
    <row r="28" spans="1:6" x14ac:dyDescent="0.2">
      <c r="A28" s="11"/>
      <c r="B28" s="41"/>
      <c r="C28" s="6"/>
      <c r="D28" s="30"/>
      <c r="E28" s="58"/>
      <c r="F28" s="6"/>
    </row>
    <row r="29" spans="1:6" x14ac:dyDescent="0.2">
      <c r="A29" s="11" t="s">
        <v>43</v>
      </c>
      <c r="B29" s="27">
        <f>'Mortgage Table'!I14</f>
        <v>41.233949805372099</v>
      </c>
      <c r="C29" s="6"/>
      <c r="D29" s="28"/>
      <c r="E29" s="58" t="s">
        <v>60</v>
      </c>
      <c r="F29" s="6"/>
    </row>
    <row r="30" spans="1:6" x14ac:dyDescent="0.2">
      <c r="A30" s="11" t="s">
        <v>45</v>
      </c>
      <c r="B30" s="27">
        <f>106-20-B29</f>
        <v>44.766050194627901</v>
      </c>
      <c r="C30" s="6"/>
      <c r="D30" s="28">
        <f>B30/(1+6%)^10</f>
        <v>24.997128611800218</v>
      </c>
      <c r="E30" s="58"/>
      <c r="F30" s="6"/>
    </row>
    <row r="31" spans="1:6" ht="45" x14ac:dyDescent="0.2">
      <c r="A31" s="11"/>
      <c r="B31" s="51"/>
      <c r="C31" s="6"/>
      <c r="D31" s="7"/>
      <c r="E31" s="58" t="s">
        <v>136</v>
      </c>
      <c r="F31" s="6"/>
    </row>
    <row r="32" spans="1:6" x14ac:dyDescent="0.2">
      <c r="A32" s="11" t="s">
        <v>78</v>
      </c>
      <c r="B32" s="41">
        <f>B27-B30-C25</f>
        <v>219.78972337616278</v>
      </c>
      <c r="C32" s="51" t="s">
        <v>79</v>
      </c>
      <c r="D32" s="30">
        <f>D27-D30-D25</f>
        <v>92.583657704008061</v>
      </c>
      <c r="E32" s="59" t="s">
        <v>123</v>
      </c>
      <c r="F32" s="6"/>
    </row>
    <row r="33" spans="1:6" x14ac:dyDescent="0.2">
      <c r="A33" s="11" t="s">
        <v>77</v>
      </c>
      <c r="B33" s="29">
        <f>B32/C25</f>
        <v>1.5699265955440198</v>
      </c>
      <c r="C33" s="43" t="s">
        <v>80</v>
      </c>
      <c r="D33" s="23">
        <f>D32/D25</f>
        <v>0.85471533284584045</v>
      </c>
      <c r="E33" s="58" t="s">
        <v>124</v>
      </c>
      <c r="F33" s="6"/>
    </row>
    <row r="34" spans="1:6" ht="12" thickBot="1" x14ac:dyDescent="0.25">
      <c r="A34" s="17"/>
      <c r="B34" s="53"/>
      <c r="C34" s="53"/>
      <c r="D34" s="54"/>
      <c r="E34" s="58" t="s">
        <v>129</v>
      </c>
      <c r="F34" s="6"/>
    </row>
    <row r="35" spans="1:6" ht="12" thickTop="1" x14ac:dyDescent="0.2">
      <c r="A35" s="5"/>
      <c r="B35" s="6"/>
      <c r="C35" s="6"/>
      <c r="D35" s="6"/>
      <c r="E35" s="7"/>
    </row>
    <row r="36" spans="1:6" x14ac:dyDescent="0.2">
      <c r="A36" s="5" t="s">
        <v>102</v>
      </c>
      <c r="B36" s="6"/>
      <c r="C36" s="6"/>
      <c r="D36" s="6"/>
      <c r="E36" s="7"/>
    </row>
    <row r="37" spans="1:6" x14ac:dyDescent="0.2">
      <c r="A37" s="5" t="s">
        <v>81</v>
      </c>
      <c r="B37" s="6"/>
      <c r="C37" s="6"/>
      <c r="D37" s="6"/>
      <c r="E37" s="7"/>
    </row>
    <row r="38" spans="1:6" x14ac:dyDescent="0.2">
      <c r="A38" s="5"/>
      <c r="B38" s="6"/>
      <c r="C38" s="6"/>
      <c r="D38" s="6"/>
      <c r="E38" s="7"/>
    </row>
    <row r="39" spans="1:6" x14ac:dyDescent="0.2">
      <c r="A39" s="5" t="s">
        <v>125</v>
      </c>
      <c r="B39" s="6"/>
      <c r="C39" s="6"/>
      <c r="D39" s="6"/>
      <c r="E39" s="7"/>
    </row>
    <row r="40" spans="1:6" ht="12" thickBot="1" x14ac:dyDescent="0.25">
      <c r="A40" s="10" t="s">
        <v>126</v>
      </c>
      <c r="B40" s="15"/>
      <c r="C40" s="15"/>
      <c r="D40" s="15"/>
      <c r="E40" s="16"/>
    </row>
    <row r="41" spans="1:6" ht="12" thickTop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Case I Apt </vt:lpstr>
      <vt:lpstr>Case II Rent &amp; Buy land</vt:lpstr>
      <vt:lpstr>Case III Buy smaller &amp; alt Inv</vt:lpstr>
      <vt:lpstr>Comparison Sheet w discounting</vt:lpstr>
      <vt:lpstr>Mortgage Table</vt:lpstr>
      <vt:lpstr>Mortgage vs Other -Time 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BHARANI</dc:creator>
  <cp:lastModifiedBy>User</cp:lastModifiedBy>
  <dcterms:created xsi:type="dcterms:W3CDTF">2013-01-23T06:39:16Z</dcterms:created>
  <dcterms:modified xsi:type="dcterms:W3CDTF">2014-08-11T09:14:49Z</dcterms:modified>
</cp:coreProperties>
</file>